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alcChain.xml" ContentType="application/vnd.openxmlformats-officedocument.spreadsheetml.calcChain+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https://undp-my.sharepoint.com/personal/stella_coco_undp_org/Documents/Stella/Programme/PMSU/PTA 2017/"/>
    </mc:Choice>
  </mc:AlternateContent>
  <bookViews>
    <workbookView xWindow="0" yWindow="0" windowWidth="20730" windowHeight="11760"/>
  </bookViews>
  <sheets>
    <sheet name="TBWP" sheetId="1" r:id="rId1"/>
    <sheet name="Summary" sheetId="4" r:id="rId2"/>
    <sheet name="accounts" sheetId="2" r:id="rId3"/>
  </sheets>
  <definedNames>
    <definedName name="_xlnm._FilterDatabase" localSheetId="0" hidden="1">TBWP!$A$10:$R$49</definedName>
    <definedName name="_ftn1" localSheetId="0">TBWP!#REF!</definedName>
    <definedName name="_ftn2" localSheetId="0">TBWP!$A$53</definedName>
    <definedName name="_ftn3" localSheetId="0">TBWP!$A$54</definedName>
    <definedName name="_ftnref1" localSheetId="0">TBWP!$A$3</definedName>
    <definedName name="_ftnref2" localSheetId="0">TBWP!#REF!</definedName>
    <definedName name="_ftnref3" localSheetId="0">TBWP!$A$45</definedName>
    <definedName name="_xlnm.Print_Area" localSheetId="0">TBWP!$A$10:$L$50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1" l="1"/>
  <c r="J23" i="1"/>
  <c r="I23" i="1"/>
  <c r="H23" i="1"/>
  <c r="G23" i="1"/>
  <c r="L23" i="1" s="1"/>
  <c r="K29" i="1" l="1"/>
  <c r="J29" i="1"/>
  <c r="I29" i="1"/>
  <c r="H29" i="1"/>
  <c r="G29" i="1"/>
  <c r="K20" i="1"/>
  <c r="J20" i="1"/>
  <c r="H20" i="1"/>
  <c r="I20" i="1"/>
  <c r="G20" i="1"/>
  <c r="K12" i="1"/>
  <c r="J12" i="1"/>
  <c r="I12" i="1"/>
  <c r="H12" i="1"/>
  <c r="G12" i="1"/>
  <c r="K35" i="1"/>
  <c r="J35" i="1"/>
  <c r="I35" i="1"/>
  <c r="H35" i="1"/>
  <c r="G35" i="1"/>
  <c r="L35" i="1" s="1"/>
  <c r="K33" i="1"/>
  <c r="J33" i="1"/>
  <c r="I33" i="1"/>
  <c r="H33" i="1"/>
  <c r="G33" i="1"/>
  <c r="K26" i="1"/>
  <c r="J26" i="1"/>
  <c r="I26" i="1"/>
  <c r="H26" i="1"/>
  <c r="G26" i="1"/>
  <c r="L26" i="1" s="1"/>
  <c r="K17" i="1"/>
  <c r="H17" i="1"/>
  <c r="J17" i="1"/>
  <c r="I17" i="1"/>
  <c r="G17" i="1"/>
  <c r="K15" i="1"/>
  <c r="J15" i="1"/>
  <c r="I15" i="1"/>
  <c r="H15" i="1"/>
  <c r="G15" i="1"/>
  <c r="E17" i="1"/>
  <c r="E26" i="1"/>
  <c r="E35" i="1"/>
  <c r="L17" i="1" l="1"/>
  <c r="I24" i="1"/>
  <c r="J24" i="1"/>
  <c r="K24" i="1"/>
  <c r="H24" i="1"/>
  <c r="G24" i="1"/>
  <c r="I25" i="1"/>
  <c r="K25" i="1"/>
  <c r="J25" i="1"/>
  <c r="H25" i="1"/>
  <c r="G25" i="1"/>
  <c r="K21" i="1"/>
  <c r="J21" i="1"/>
  <c r="I21" i="1"/>
  <c r="H21" i="1"/>
  <c r="G21" i="1"/>
  <c r="K22" i="1"/>
  <c r="J22" i="1"/>
  <c r="I22" i="1"/>
  <c r="H22" i="1"/>
  <c r="G22" i="1"/>
  <c r="H32" i="1"/>
  <c r="G32" i="1"/>
  <c r="I32" i="1"/>
  <c r="J32" i="1"/>
  <c r="K32" i="1"/>
  <c r="K30" i="1"/>
  <c r="H30" i="1"/>
  <c r="J30" i="1"/>
  <c r="I30" i="1"/>
  <c r="G30" i="1"/>
  <c r="K34" i="1"/>
  <c r="H34" i="1"/>
  <c r="I34" i="1"/>
  <c r="J34" i="1"/>
  <c r="G34" i="1"/>
  <c r="G31" i="1"/>
  <c r="K31" i="1"/>
  <c r="H31" i="1"/>
  <c r="I31" i="1"/>
  <c r="J31" i="1"/>
  <c r="E22" i="1"/>
  <c r="K16" i="1"/>
  <c r="J16" i="1"/>
  <c r="I16" i="1"/>
  <c r="H16" i="1"/>
  <c r="G16" i="1"/>
  <c r="K14" i="1"/>
  <c r="J14" i="1"/>
  <c r="H14" i="1"/>
  <c r="I14" i="1"/>
  <c r="G14" i="1"/>
  <c r="G13" i="1"/>
  <c r="H13" i="1"/>
  <c r="I13" i="1"/>
  <c r="J13" i="1"/>
  <c r="K13" i="1"/>
  <c r="L18" i="1"/>
  <c r="K39" i="1"/>
  <c r="I39" i="1"/>
  <c r="K38" i="1"/>
  <c r="I38" i="1"/>
  <c r="L45" i="1"/>
  <c r="L46" i="1"/>
  <c r="L47" i="1"/>
  <c r="M13" i="1"/>
  <c r="M14" i="1" s="1"/>
  <c r="M15" i="1" s="1"/>
  <c r="M16" i="1" s="1"/>
  <c r="M17" i="1" s="1"/>
  <c r="M18" i="1" s="1"/>
  <c r="J44" i="1"/>
  <c r="E43" i="1"/>
  <c r="L27" i="1"/>
  <c r="L36" i="1"/>
  <c r="L40" i="1"/>
  <c r="L41" i="1"/>
  <c r="L42" i="1"/>
  <c r="L43" i="1"/>
  <c r="H44" i="1"/>
  <c r="G44" i="1"/>
  <c r="K48" i="1"/>
  <c r="I48" i="1"/>
  <c r="J48" i="1"/>
  <c r="H48" i="1"/>
  <c r="G48" i="1"/>
  <c r="L31" i="1" l="1"/>
  <c r="L24" i="1"/>
  <c r="I28" i="1"/>
  <c r="L25" i="1"/>
  <c r="G28" i="1"/>
  <c r="J28" i="1"/>
  <c r="L21" i="1"/>
  <c r="H28" i="1"/>
  <c r="K28" i="1"/>
  <c r="L22" i="1"/>
  <c r="L20" i="1"/>
  <c r="L32" i="1"/>
  <c r="L33" i="1"/>
  <c r="L34" i="1"/>
  <c r="K37" i="1"/>
  <c r="H37" i="1"/>
  <c r="J37" i="1"/>
  <c r="L30" i="1"/>
  <c r="I37" i="1"/>
  <c r="G37" i="1"/>
  <c r="L29" i="1"/>
  <c r="L13" i="1"/>
  <c r="K19" i="1"/>
  <c r="J19" i="1"/>
  <c r="I19" i="1"/>
  <c r="L15" i="1"/>
  <c r="L16" i="1"/>
  <c r="L14" i="1"/>
  <c r="H19" i="1"/>
  <c r="G19" i="1"/>
  <c r="L12" i="1"/>
  <c r="M20" i="1"/>
  <c r="M21" i="1" s="1"/>
  <c r="I44" i="1"/>
  <c r="L38" i="1"/>
  <c r="L39" i="1"/>
  <c r="K44" i="1"/>
  <c r="L48" i="1"/>
  <c r="N6" i="4"/>
  <c r="H5" i="4"/>
  <c r="I5" i="4"/>
  <c r="F4" i="4"/>
  <c r="G5" i="4"/>
  <c r="E42" i="1"/>
  <c r="E39" i="1"/>
  <c r="E40" i="1"/>
  <c r="E41" i="1"/>
  <c r="E38" i="1"/>
  <c r="E30" i="1"/>
  <c r="E32" i="1"/>
  <c r="E34" i="1"/>
  <c r="E29" i="1"/>
  <c r="E25" i="1"/>
  <c r="E21" i="1"/>
  <c r="E23" i="1"/>
  <c r="E20" i="1"/>
  <c r="M5" i="4"/>
  <c r="L5" i="4"/>
  <c r="K5" i="4"/>
  <c r="K4" i="4"/>
  <c r="K7" i="4" s="1"/>
  <c r="L4" i="4"/>
  <c r="M4" i="4"/>
  <c r="J49" i="1" l="1"/>
  <c r="L28" i="1"/>
  <c r="H49" i="1"/>
  <c r="L37" i="1"/>
  <c r="G49" i="1"/>
  <c r="M22" i="1"/>
  <c r="M23" i="1" s="1"/>
  <c r="M24" i="1" s="1"/>
  <c r="M25" i="1" s="1"/>
  <c r="K49" i="1"/>
  <c r="I49" i="1"/>
  <c r="L19" i="1"/>
  <c r="L44" i="1"/>
  <c r="M7" i="4"/>
  <c r="L7" i="4"/>
  <c r="J5" i="4"/>
  <c r="I4" i="4"/>
  <c r="I7" i="4" s="1"/>
  <c r="G4" i="4"/>
  <c r="G7" i="4" s="1"/>
  <c r="J4" i="4"/>
  <c r="J7" i="4" s="1"/>
  <c r="F5" i="4"/>
  <c r="N5" i="4" s="1"/>
  <c r="F7" i="4"/>
  <c r="N4" i="4"/>
  <c r="N7" i="4" s="1"/>
  <c r="H4" i="4"/>
  <c r="H7" i="4" s="1"/>
  <c r="M26" i="1" l="1"/>
  <c r="M27" i="1" s="1"/>
  <c r="M29" i="1" s="1"/>
  <c r="M30" i="1" s="1"/>
  <c r="M31" i="1" s="1"/>
  <c r="M32" i="1" s="1"/>
  <c r="M33" i="1" s="1"/>
  <c r="M34" i="1" s="1"/>
  <c r="L50" i="1"/>
  <c r="L49" i="1"/>
  <c r="L51" i="1" s="1"/>
  <c r="M35" i="1" l="1"/>
  <c r="M36" i="1" s="1"/>
  <c r="M38" i="1" s="1"/>
  <c r="M39" i="1" s="1"/>
  <c r="M40" i="1" s="1"/>
  <c r="M41" i="1" s="1"/>
  <c r="M42" i="1" s="1"/>
  <c r="M43" i="1" s="1"/>
  <c r="M45" i="1" s="1"/>
  <c r="M46" i="1" s="1"/>
  <c r="M47" i="1" s="1"/>
</calcChain>
</file>

<file path=xl/sharedStrings.xml><?xml version="1.0" encoding="utf-8"?>
<sst xmlns="http://schemas.openxmlformats.org/spreadsheetml/2006/main" count="262" uniqueCount="125">
  <si>
    <t>TOTAL BUDGET AND WORK PLAN</t>
  </si>
  <si>
    <t>Atlas[1] Proposal or Award ID:</t>
  </si>
  <si>
    <t>Atlas Primary Output Project ID:</t>
  </si>
  <si>
    <t>Atlas Proposal or Award Title:</t>
  </si>
  <si>
    <t>Atlas Business Unit</t>
  </si>
  <si>
    <t>Atlas Primary Output Project Title</t>
  </si>
  <si>
    <t xml:space="preserve">UNDP-GEF PIMS No. </t>
  </si>
  <si>
    <t xml:space="preserve">Implementing Partner </t>
  </si>
  <si>
    <t>GEF Component/Atlas Activity</t>
  </si>
  <si>
    <t xml:space="preserve">Responsible Party/[1] </t>
  </si>
  <si>
    <t>Fund ID</t>
  </si>
  <si>
    <t>Donor Name</t>
  </si>
  <si>
    <t>Atlas Budgetary Account Code</t>
  </si>
  <si>
    <t>ATLAS Budget Description</t>
  </si>
  <si>
    <t>Amount Year 1 (USD)</t>
  </si>
  <si>
    <t>Amount Year 2 (USD)</t>
  </si>
  <si>
    <t>Amount Year 3 (USD)</t>
  </si>
  <si>
    <t>See Budget Note:</t>
  </si>
  <si>
    <t>(Atlas Implementing Agent)</t>
  </si>
  <si>
    <t>COMPONENT/</t>
  </si>
  <si>
    <t>GEF</t>
  </si>
  <si>
    <t>International Consultants</t>
  </si>
  <si>
    <t xml:space="preserve"> -   </t>
  </si>
  <si>
    <t>A</t>
  </si>
  <si>
    <t xml:space="preserve">OUTCOME 1: </t>
  </si>
  <si>
    <t>Local Consultants</t>
  </si>
  <si>
    <t>B</t>
  </si>
  <si>
    <t>Contractual/ Professional services</t>
  </si>
  <si>
    <t>C</t>
  </si>
  <si>
    <t>Training, workshops</t>
  </si>
  <si>
    <t>D</t>
  </si>
  <si>
    <t>Miscellaneous</t>
  </si>
  <si>
    <t>E</t>
  </si>
  <si>
    <t>Training, workshop, meetings</t>
  </si>
  <si>
    <t>H</t>
  </si>
  <si>
    <t>Travel</t>
  </si>
  <si>
    <t>I</t>
  </si>
  <si>
    <t>Office Supplies</t>
  </si>
  <si>
    <t>J</t>
  </si>
  <si>
    <r>
      <t xml:space="preserve">K </t>
    </r>
    <r>
      <rPr>
        <sz val="8"/>
        <color rgb="FFFF0000"/>
        <rFont val="Calibri"/>
        <family val="2"/>
        <scheme val="minor"/>
      </rPr>
      <t>* lump into 1</t>
    </r>
    <r>
      <rPr>
        <vertAlign val="superscript"/>
        <sz val="8"/>
        <color rgb="FFFF0000"/>
        <rFont val="Calibri"/>
        <family val="2"/>
        <scheme val="minor"/>
      </rPr>
      <t>st</t>
    </r>
    <r>
      <rPr>
        <sz val="8"/>
        <color rgb="FFFF0000"/>
        <rFont val="Calibri"/>
        <family val="2"/>
        <scheme val="minor"/>
      </rPr>
      <t xml:space="preserve"> year</t>
    </r>
  </si>
  <si>
    <t>Total Outcome 1</t>
  </si>
  <si>
    <t>OUTCOME 2:</t>
  </si>
  <si>
    <t>Contractual Services-Companies</t>
  </si>
  <si>
    <t>Equipment and Furniture</t>
  </si>
  <si>
    <t>Training, Workshops and Confer</t>
  </si>
  <si>
    <t>Contractual Services - Individ</t>
  </si>
  <si>
    <t>Rental &amp; Maintenance-Premises</t>
  </si>
  <si>
    <t>Miscellaneous Expenses</t>
  </si>
  <si>
    <t>Total Outcome 2</t>
  </si>
  <si>
    <t>OUTCOME 3:</t>
  </si>
  <si>
    <t>Materials &amp; Goods</t>
  </si>
  <si>
    <t>Information Technology Equipmt</t>
  </si>
  <si>
    <t>Total Outcome 3</t>
  </si>
  <si>
    <t>a</t>
  </si>
  <si>
    <t>OUTCOME 4: KM and M&amp;E</t>
  </si>
  <si>
    <t>b</t>
  </si>
  <si>
    <t>c</t>
  </si>
  <si>
    <t>Professional Services</t>
  </si>
  <si>
    <t>f</t>
  </si>
  <si>
    <t>Audio Visual&amp;Print Prod Costs</t>
  </si>
  <si>
    <t>Total Outcome 4</t>
  </si>
  <si>
    <t>d</t>
  </si>
  <si>
    <t>Project management  unit[3]</t>
  </si>
  <si>
    <t xml:space="preserve">(This is not to appear as an Outcome in the Results Framework) </t>
  </si>
  <si>
    <t>Supplies</t>
  </si>
  <si>
    <t>Services to projects - CO staff</t>
  </si>
  <si>
    <t>Services to projects - GOE for CO</t>
  </si>
  <si>
    <t>Total Project Management</t>
  </si>
  <si>
    <t>PROJECT TOTAL</t>
  </si>
  <si>
    <t>[1] Only the responsible parties to be created as Atlas Implementing Agent as part of the COAs should be entered here. Sub-level responsible parties reporting directly to NIM Implementing Partners should not entered here. For example, if under NIM, UNOPS signs LOA with the IP to manage component 2, and a department of Ministry X will manage component 3, this means that UNOPS will be listed as the responsible party under component 2.  The rest of the components will list the IP as the responsible party.</t>
  </si>
  <si>
    <t xml:space="preserve">[2] Only cash co-financing (cost sharing at project level or other trust funds) actually passing through UNDP accounts should be entered here and in Atlas. Other co-financing should NOT be shown here. </t>
  </si>
  <si>
    <t xml:space="preserve">[3] Should not exceed 5% of total project budget for FSPs and 10% for MSPs.  PMU costs will be used for the following activities: Full time or part time project manager (and or coordinator); Full time or part time project administrative/finance assistant; Travel cost of the PMU project staff; Other General Operating Expenses such as rent, computer, equipment, supplies, etc. to support the PMU; UNDP Direct Project Cost if requested by Government Implementing Partner; Any other projected PMU cost as appropriate.  Audit should be funded under Outcome 4 on KM and M&amp;E or under project outcomes. </t>
  </si>
  <si>
    <t>Budget notes:</t>
  </si>
  <si>
    <r>
      <t>a.</t>
    </r>
    <r>
      <rPr>
        <i/>
        <sz val="9"/>
        <color theme="1"/>
        <rFont val="Times New Roman"/>
        <family val="1"/>
      </rPr>
      <t xml:space="preserve">               </t>
    </r>
    <r>
      <rPr>
        <i/>
        <sz val="9"/>
        <color theme="1"/>
        <rFont val="Calibri"/>
        <family val="2"/>
      </rPr>
      <t>If the project is a full size project, include USD 20,000 - 30,000 for international consultant to undertake mid-term review and USD 20,000 – 40,000 for international consultant to undertake terminal evaluation. If the project is medium sized, include USD 20,000 – 40,000 for consultant (s) to undertake terminal evaluation.</t>
    </r>
  </si>
  <si>
    <r>
      <t>b.</t>
    </r>
    <r>
      <rPr>
        <i/>
        <sz val="9"/>
        <color theme="1"/>
        <rFont val="Times New Roman"/>
        <family val="1"/>
      </rPr>
      <t xml:space="preserve">              </t>
    </r>
    <r>
      <rPr>
        <i/>
        <sz val="9"/>
        <color theme="1"/>
        <rFont val="Calibri"/>
        <family val="2"/>
      </rPr>
      <t>If the project is a full size project, include sufficient allocation (e.g. USD 10,000 to 15,000) for national consultant to undertake mid-term review and national consultant (e.g. USD 15,000 to 20,000) to undertake terminal evaluation.</t>
    </r>
  </si>
  <si>
    <r>
      <t xml:space="preserve">c.      </t>
    </r>
    <r>
      <rPr>
        <i/>
        <sz val="9"/>
        <color theme="1"/>
        <rFont val="Times New Roman"/>
        <family val="1"/>
      </rPr>
      <t xml:space="preserve">          </t>
    </r>
    <r>
      <rPr>
        <i/>
        <sz val="9"/>
        <color theme="1"/>
        <rFont val="Calibri"/>
        <family val="2"/>
      </rPr>
      <t>Include sufficient allocation to translate the mid-term review and terminal evaluation if needed into English</t>
    </r>
  </si>
  <si>
    <r>
      <t>d.</t>
    </r>
    <r>
      <rPr>
        <i/>
        <sz val="9"/>
        <color theme="1"/>
        <rFont val="Times New Roman"/>
        <family val="1"/>
      </rPr>
      <t xml:space="preserve">              </t>
    </r>
    <r>
      <rPr>
        <i/>
        <sz val="9"/>
        <color theme="1"/>
        <rFont val="Calibri"/>
        <family val="2"/>
      </rPr>
      <t>The total amount should include the M&amp;E budget included in Section VI</t>
    </r>
  </si>
  <si>
    <t>e.                 Project execution support services - Staff/General operating expense (GOE) - only if requested by the Implementing Partner: procurement, payments, workshops, ... (never use cost recovery)</t>
  </si>
  <si>
    <r>
      <t>f.</t>
    </r>
    <r>
      <rPr>
        <i/>
        <sz val="9"/>
        <color theme="1"/>
        <rFont val="Times New Roman"/>
        <family val="1"/>
      </rPr>
      <t xml:space="preserve">               </t>
    </r>
    <r>
      <rPr>
        <i/>
        <sz val="9"/>
        <color theme="1"/>
        <rFont val="Calibri"/>
        <family val="2"/>
      </rPr>
      <t>Include an estimated audit cost USD 3,000-5,000 a year (or other amount as provided by Country Office).</t>
    </r>
  </si>
  <si>
    <t>1.-51.        Include budget notes for all items</t>
  </si>
  <si>
    <t>Summary of Funds: [1]</t>
  </si>
  <si>
    <t>Amount</t>
  </si>
  <si>
    <t>Total</t>
  </si>
  <si>
    <t>Year1</t>
  </si>
  <si>
    <t>Year 2</t>
  </si>
  <si>
    <t>Year 3</t>
  </si>
  <si>
    <t>Year 4</t>
  </si>
  <si>
    <t>Year 5</t>
  </si>
  <si>
    <t>Year 6</t>
  </si>
  <si>
    <t>Year 7</t>
  </si>
  <si>
    <t>Year 8</t>
  </si>
  <si>
    <t xml:space="preserve">GEF </t>
  </si>
  <si>
    <t>Donor 2 (e.g. UNDP</t>
  </si>
  <si>
    <t>Donor 3 (cash and in-kind) e.g. Government</t>
  </si>
  <si>
    <t>TOTAL</t>
  </si>
  <si>
    <t xml:space="preserve">[1] Summary table should include all financing of all kinds: GEF financing, cofinancing, cash, in-kind, etc...  </t>
  </si>
  <si>
    <t>Outcomes</t>
  </si>
  <si>
    <t>PMC</t>
  </si>
  <si>
    <t>Other donor</t>
  </si>
  <si>
    <t>Budgetary Acct Description</t>
  </si>
  <si>
    <t>Budgetary Account</t>
  </si>
  <si>
    <t>Communic &amp; Audio Visual Equip</t>
  </si>
  <si>
    <t>72100</t>
  </si>
  <si>
    <t>Grants</t>
  </si>
  <si>
    <t>Facilities &amp; Administration</t>
  </si>
  <si>
    <t>Hospitality/Catering</t>
  </si>
  <si>
    <t>Rental &amp; Maint of Info Tech Eq</t>
  </si>
  <si>
    <t>Rental &amp; Maint of Other Equip</t>
  </si>
  <si>
    <t>Transport, Shipping and handle</t>
  </si>
  <si>
    <t>75700</t>
  </si>
  <si>
    <t>Salaries Costs - GS Staff</t>
  </si>
  <si>
    <t>Salary &amp; Post Adj Cst-IP Staff</t>
  </si>
  <si>
    <t>UN Volunteers</t>
  </si>
  <si>
    <t>Salary Costs - NP Staff</t>
  </si>
  <si>
    <t>Strengthening the resilience of rural livelihoods and sub-national government system to climate risks and variability in Benin</t>
  </si>
  <si>
    <t>Ministère du Plan et du Développement</t>
  </si>
  <si>
    <t>BEN10</t>
  </si>
  <si>
    <t>MDP</t>
  </si>
  <si>
    <t>UNDP</t>
  </si>
  <si>
    <t>LDCF</t>
  </si>
  <si>
    <t>Amount Year 4 (USD)</t>
  </si>
  <si>
    <t>Amount Year 5 (USD)</t>
  </si>
  <si>
    <t>Amount (USD) total</t>
  </si>
  <si>
    <t>Direct project cost</t>
  </si>
  <si>
    <t>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</si>
</sst>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8" x14ac:knownFonts="1">
    <font>
      <sz val="11"/>
      <color theme="1"/>
      <name val="Calibri"/>
      <family val="2"/>
      <scheme val="minor"/>
    </font>
    <font>
      <sz val="9"/>
      <color rgb="FF000000"/>
      <name val="Calibri"/>
      <family val="2"/>
      <scheme val="minor"/>
    </font>
    <font>
      <u/>
      <sz val="11"/>
      <color theme="10"/>
      <name val="Calibri"/>
      <family val="2"/>
      <scheme val="minor"/>
    </font>
    <font>
      <b/>
      <sz val="9"/>
      <color theme="1"/>
      <name val="Times New Roman"/>
      <family val="1"/>
    </font>
    <font>
      <sz val="9"/>
      <color theme="1"/>
      <name val="Times New Roman"/>
      <family val="1"/>
    </font>
    <font>
      <i/>
      <sz val="9"/>
      <color theme="1"/>
      <name val="Times New Roman"/>
      <family val="1"/>
    </font>
    <font>
      <sz val="11"/>
      <color theme="1"/>
      <name val="Calibri"/>
      <family val="2"/>
      <scheme val="minor"/>
    </font>
    <font>
      <sz val="9"/>
      <color theme="1"/>
      <name val="Calibri"/>
      <family val="2"/>
      <scheme val="minor"/>
    </font>
    <font>
      <u/>
      <sz val="9"/>
      <color theme="10"/>
      <name val="Calibri"/>
      <family val="2"/>
      <scheme val="minor"/>
    </font>
    <font>
      <b/>
      <sz val="9"/>
      <color theme="1"/>
      <name val="Calibri"/>
      <family val="2"/>
      <scheme val="minor"/>
    </font>
    <font>
      <sz val="9"/>
      <color theme="1"/>
      <name val="Courier"/>
      <family val="3"/>
    </font>
    <font>
      <i/>
      <sz val="9"/>
      <color theme="1"/>
      <name val="Calibri"/>
      <family val="2"/>
      <scheme val="minor"/>
    </font>
    <font>
      <b/>
      <i/>
      <sz val="9"/>
      <color theme="1"/>
      <name val="Times New Roman"/>
      <family val="1"/>
    </font>
    <font>
      <i/>
      <sz val="9"/>
      <color theme="1"/>
      <name val="Calibri"/>
      <family val="2"/>
    </font>
    <font>
      <sz val="8"/>
      <color theme="1"/>
      <name val="Calibri"/>
      <family val="2"/>
      <scheme val="minor"/>
    </font>
    <font>
      <sz val="8"/>
      <color rgb="FFFF0000"/>
      <name val="Calibri"/>
      <family val="2"/>
      <scheme val="minor"/>
    </font>
    <font>
      <vertAlign val="superscript"/>
      <sz val="8"/>
      <color rgb="FFFF0000"/>
      <name val="Calibri"/>
      <family val="2"/>
      <scheme val="minor"/>
    </font>
    <font>
      <b/>
      <i/>
      <sz val="9"/>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4" tint="0.59996337778862885"/>
        <bgColor indexed="64"/>
      </patternFill>
    </fill>
    <fill>
      <patternFill patternType="solid">
        <fgColor rgb="FFFFFF0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right style="medium">
        <color indexed="64"/>
      </right>
      <top/>
      <bottom style="double">
        <color indexed="64"/>
      </bottom>
      <diagonal/>
    </border>
    <border>
      <left/>
      <right style="medium">
        <color indexed="64"/>
      </right>
      <top/>
      <bottom/>
      <diagonal/>
    </border>
    <border>
      <left/>
      <right/>
      <top/>
      <bottom style="double">
        <color indexed="64"/>
      </bottom>
      <diagonal/>
    </border>
    <border>
      <left style="medium">
        <color indexed="64"/>
      </left>
      <right style="medium">
        <color indexed="64"/>
      </right>
      <top style="double">
        <color indexed="64"/>
      </top>
      <bottom/>
      <diagonal/>
    </border>
    <border>
      <left style="thin">
        <color rgb="FFABABAB"/>
      </left>
      <right/>
      <top style="thin">
        <color rgb="FFABABAB"/>
      </top>
      <bottom/>
      <diagonal/>
    </border>
    <border>
      <left/>
      <right/>
      <top/>
      <bottom style="medium">
        <color indexed="64"/>
      </bottom>
      <diagonal/>
    </border>
    <border>
      <left style="medium">
        <color indexed="64"/>
      </left>
      <right/>
      <top/>
      <bottom/>
      <diagonal/>
    </border>
    <border>
      <left style="medium">
        <color indexed="64"/>
      </left>
      <right/>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164" fontId="6" fillId="0" borderId="0" applyFont="0" applyFill="0" applyBorder="0" applyAlignment="0" applyProtection="0"/>
  </cellStyleXfs>
  <cellXfs count="133">
    <xf numFmtId="0" fontId="0" fillId="0" borderId="0" xfId="0"/>
    <xf numFmtId="0" fontId="1" fillId="0" borderId="2" xfId="0" applyFont="1" applyBorder="1" applyAlignment="1">
      <alignment horizontal="justify" vertical="center" wrapText="1"/>
    </xf>
    <xf numFmtId="0" fontId="1" fillId="0" borderId="3" xfId="0" applyFont="1" applyBorder="1" applyAlignment="1">
      <alignment horizontal="justify" vertical="center"/>
    </xf>
    <xf numFmtId="0" fontId="1" fillId="0" borderId="3" xfId="0" applyFont="1" applyBorder="1" applyAlignment="1">
      <alignment horizontal="justify" vertical="center" wrapText="1"/>
    </xf>
    <xf numFmtId="0" fontId="0" fillId="0" borderId="16" xfId="0" applyBorder="1"/>
    <xf numFmtId="49" fontId="0" fillId="0" borderId="0" xfId="0" applyNumberFormat="1"/>
    <xf numFmtId="0" fontId="8" fillId="0" borderId="1" xfId="1" applyFont="1" applyBorder="1" applyAlignment="1">
      <alignment horizontal="justify" vertical="center"/>
    </xf>
    <xf numFmtId="0" fontId="7" fillId="0" borderId="0" xfId="0" applyFont="1"/>
    <xf numFmtId="0" fontId="8" fillId="0" borderId="0" xfId="1" applyFont="1" applyAlignment="1">
      <alignment horizontal="justify" vertical="center"/>
    </xf>
    <xf numFmtId="165" fontId="4" fillId="0" borderId="4" xfId="2" applyNumberFormat="1" applyFont="1" applyBorder="1" applyAlignment="1">
      <alignment horizontal="center" vertical="center"/>
    </xf>
    <xf numFmtId="165" fontId="4" fillId="0" borderId="4" xfId="2" applyNumberFormat="1" applyFont="1" applyBorder="1" applyAlignment="1">
      <alignment horizontal="center" vertical="center" wrapText="1"/>
    </xf>
    <xf numFmtId="165" fontId="3" fillId="0" borderId="12" xfId="2" applyNumberFormat="1" applyFont="1" applyBorder="1" applyAlignment="1">
      <alignment horizontal="center" vertical="center"/>
    </xf>
    <xf numFmtId="165" fontId="3" fillId="0" borderId="4" xfId="0" applyNumberFormat="1" applyFont="1" applyBorder="1" applyAlignment="1">
      <alignment horizontal="center" vertical="center"/>
    </xf>
    <xf numFmtId="0" fontId="10" fillId="0" borderId="0" xfId="0" applyFont="1" applyAlignment="1">
      <alignment horizontal="justify" vertical="center"/>
    </xf>
    <xf numFmtId="0" fontId="4" fillId="0" borderId="5" xfId="0" applyFont="1" applyBorder="1" applyAlignment="1">
      <alignment horizontal="center" vertical="center"/>
    </xf>
    <xf numFmtId="165" fontId="4" fillId="0" borderId="5" xfId="2" applyNumberFormat="1" applyFont="1" applyBorder="1" applyAlignment="1">
      <alignment horizontal="center" vertical="center"/>
    </xf>
    <xf numFmtId="165" fontId="4" fillId="0" borderId="5" xfId="0" applyNumberFormat="1" applyFont="1" applyBorder="1" applyAlignment="1">
      <alignment horizontal="center" vertical="center"/>
    </xf>
    <xf numFmtId="165" fontId="4" fillId="0" borderId="1" xfId="0" applyNumberFormat="1" applyFont="1" applyBorder="1" applyAlignment="1">
      <alignment horizontal="center" vertical="center"/>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11" fillId="0" borderId="0" xfId="0" applyFont="1" applyAlignment="1">
      <alignment horizontal="center"/>
    </xf>
    <xf numFmtId="0" fontId="5" fillId="0" borderId="4" xfId="0" applyFont="1" applyBorder="1" applyAlignment="1">
      <alignment horizontal="center" vertical="center"/>
    </xf>
    <xf numFmtId="0" fontId="12" fillId="0" borderId="12" xfId="0" applyFont="1" applyBorder="1" applyAlignment="1">
      <alignment horizontal="center" vertical="center" wrapText="1"/>
    </xf>
    <xf numFmtId="0" fontId="11" fillId="0" borderId="0" xfId="0" applyFont="1" applyAlignment="1"/>
    <xf numFmtId="0" fontId="3" fillId="0" borderId="17" xfId="0" applyFont="1" applyBorder="1" applyAlignment="1">
      <alignment horizontal="justify" vertical="center" wrapText="1"/>
    </xf>
    <xf numFmtId="0" fontId="4" fillId="0" borderId="0" xfId="0" applyFont="1" applyAlignment="1">
      <alignment horizontal="justify" vertical="center"/>
    </xf>
    <xf numFmtId="0" fontId="4" fillId="0" borderId="13" xfId="0" applyFont="1" applyBorder="1" applyAlignment="1">
      <alignment horizontal="justify"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3" fillId="0" borderId="0" xfId="0" applyFont="1" applyAlignment="1">
      <alignment horizontal="justify" vertical="center" wrapText="1"/>
    </xf>
    <xf numFmtId="0" fontId="14" fillId="0" borderId="1"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7" xfId="0" applyFont="1" applyBorder="1" applyAlignment="1">
      <alignment horizontal="justify" vertical="center"/>
    </xf>
    <xf numFmtId="3" fontId="14" fillId="0" borderId="7" xfId="0" applyNumberFormat="1" applyFont="1" applyBorder="1" applyAlignment="1">
      <alignment horizontal="justify" vertical="center"/>
    </xf>
    <xf numFmtId="0" fontId="14" fillId="0" borderId="3" xfId="0" applyFont="1" applyBorder="1" applyAlignment="1">
      <alignment horizontal="justify" vertical="center" wrapText="1"/>
    </xf>
    <xf numFmtId="0" fontId="14" fillId="0" borderId="4" xfId="0" applyFont="1" applyBorder="1" applyAlignment="1">
      <alignment horizontal="justify" vertical="center" wrapText="1"/>
    </xf>
    <xf numFmtId="0" fontId="14" fillId="0" borderId="4" xfId="0" applyFont="1" applyBorder="1" applyAlignment="1">
      <alignment horizontal="justify" vertical="center"/>
    </xf>
    <xf numFmtId="3" fontId="14" fillId="0" borderId="4" xfId="0" applyNumberFormat="1" applyFont="1" applyBorder="1" applyAlignment="1">
      <alignment horizontal="justify" vertical="center"/>
    </xf>
    <xf numFmtId="0" fontId="7" fillId="0" borderId="0" xfId="0" applyFont="1" applyAlignment="1">
      <alignment horizontal="center"/>
    </xf>
    <xf numFmtId="0" fontId="8" fillId="0" borderId="9" xfId="1" applyFont="1" applyBorder="1" applyAlignment="1">
      <alignment wrapText="1"/>
    </xf>
    <xf numFmtId="0" fontId="9" fillId="0" borderId="13" xfId="0" applyFont="1" applyBorder="1" applyAlignment="1">
      <alignment wrapText="1"/>
    </xf>
    <xf numFmtId="0" fontId="9" fillId="0" borderId="18" xfId="0" applyFont="1" applyBorder="1" applyAlignment="1">
      <alignment wrapText="1"/>
    </xf>
    <xf numFmtId="0" fontId="7" fillId="0" borderId="7" xfId="0" applyFont="1" applyBorder="1" applyAlignment="1">
      <alignment wrapText="1"/>
    </xf>
    <xf numFmtId="0" fontId="7" fillId="0" borderId="7" xfId="0" applyFont="1" applyBorder="1" applyAlignment="1"/>
    <xf numFmtId="3" fontId="7" fillId="0" borderId="7" xfId="0" applyNumberFormat="1" applyFont="1" applyBorder="1" applyAlignment="1"/>
    <xf numFmtId="0" fontId="7" fillId="0" borderId="4" xfId="0" applyFont="1" applyBorder="1" applyAlignment="1">
      <alignment wrapText="1"/>
    </xf>
    <xf numFmtId="0" fontId="7" fillId="0" borderId="4" xfId="0" applyFont="1" applyBorder="1" applyAlignment="1"/>
    <xf numFmtId="3" fontId="7" fillId="0" borderId="4" xfId="0" applyNumberFormat="1" applyFont="1" applyBorder="1" applyAlignment="1"/>
    <xf numFmtId="0" fontId="7" fillId="0" borderId="18" xfId="0" applyFont="1" applyBorder="1" applyAlignment="1">
      <alignment wrapText="1"/>
    </xf>
    <xf numFmtId="0" fontId="7" fillId="0" borderId="19" xfId="0" applyFont="1" applyBorder="1" applyAlignment="1">
      <alignment wrapText="1"/>
    </xf>
    <xf numFmtId="0" fontId="9" fillId="0" borderId="18" xfId="0" applyFont="1" applyBorder="1" applyAlignment="1"/>
    <xf numFmtId="0" fontId="7" fillId="0" borderId="1" xfId="0" applyFont="1" applyBorder="1" applyAlignment="1"/>
    <xf numFmtId="0" fontId="7" fillId="0" borderId="8" xfId="0" applyFont="1" applyBorder="1" applyAlignment="1">
      <alignment wrapText="1"/>
    </xf>
    <xf numFmtId="165" fontId="7" fillId="0" borderId="4" xfId="2" applyNumberFormat="1" applyFont="1" applyBorder="1" applyAlignment="1"/>
    <xf numFmtId="0" fontId="11" fillId="0" borderId="18" xfId="0" applyFont="1" applyBorder="1" applyAlignment="1"/>
    <xf numFmtId="0" fontId="7" fillId="0" borderId="19" xfId="0" applyFont="1" applyBorder="1" applyAlignment="1"/>
    <xf numFmtId="0" fontId="7" fillId="0" borderId="18" xfId="0" applyFont="1" applyBorder="1" applyAlignment="1"/>
    <xf numFmtId="0" fontId="7" fillId="0" borderId="23" xfId="0" applyFont="1" applyBorder="1" applyAlignment="1">
      <alignment wrapText="1"/>
    </xf>
    <xf numFmtId="0" fontId="7" fillId="0" borderId="5" xfId="0" applyFont="1" applyBorder="1" applyAlignment="1">
      <alignment wrapText="1"/>
    </xf>
    <xf numFmtId="0" fontId="8" fillId="0" borderId="11" xfId="1" applyFont="1" applyBorder="1" applyAlignment="1">
      <alignment wrapText="1"/>
    </xf>
    <xf numFmtId="0" fontId="7" fillId="0" borderId="8" xfId="0" applyFont="1" applyBorder="1" applyAlignment="1"/>
    <xf numFmtId="0" fontId="9" fillId="0" borderId="11" xfId="0" applyFont="1" applyBorder="1" applyAlignment="1">
      <alignment wrapText="1"/>
    </xf>
    <xf numFmtId="0" fontId="7" fillId="0" borderId="11" xfId="0" applyFont="1" applyBorder="1" applyAlignment="1">
      <alignment wrapText="1"/>
    </xf>
    <xf numFmtId="0" fontId="7" fillId="0" borderId="13" xfId="0" applyFont="1" applyBorder="1" applyAlignment="1">
      <alignment wrapText="1"/>
    </xf>
    <xf numFmtId="0" fontId="9" fillId="0" borderId="20" xfId="0" applyFont="1" applyBorder="1" applyAlignment="1">
      <alignment wrapText="1"/>
    </xf>
    <xf numFmtId="0" fontId="9" fillId="0" borderId="17" xfId="0" applyFont="1" applyBorder="1" applyAlignment="1">
      <alignment wrapText="1"/>
    </xf>
    <xf numFmtId="0" fontId="9" fillId="2" borderId="12" xfId="0" applyFont="1" applyFill="1" applyBorder="1" applyAlignment="1"/>
    <xf numFmtId="3" fontId="7" fillId="2" borderId="7" xfId="0" applyNumberFormat="1" applyFont="1" applyFill="1" applyBorder="1" applyAlignment="1"/>
    <xf numFmtId="165" fontId="9" fillId="2" borderId="12" xfId="2" applyNumberFormat="1" applyFont="1" applyFill="1" applyBorder="1" applyAlignment="1"/>
    <xf numFmtId="3" fontId="9" fillId="2" borderId="7" xfId="0" applyNumberFormat="1" applyFont="1" applyFill="1" applyBorder="1" applyAlignment="1"/>
    <xf numFmtId="0" fontId="9" fillId="2" borderId="12" xfId="0" applyFont="1" applyFill="1" applyBorder="1" applyAlignment="1">
      <alignment wrapText="1"/>
    </xf>
    <xf numFmtId="0" fontId="9" fillId="2" borderId="14" xfId="0" applyFont="1" applyFill="1" applyBorder="1" applyAlignment="1"/>
    <xf numFmtId="165" fontId="9" fillId="2" borderId="4" xfId="2" applyNumberFormat="1" applyFont="1" applyFill="1" applyBorder="1" applyAlignment="1"/>
    <xf numFmtId="165" fontId="9" fillId="2" borderId="13" xfId="2" applyNumberFormat="1" applyFont="1" applyFill="1" applyBorder="1" applyAlignment="1"/>
    <xf numFmtId="165" fontId="9" fillId="3" borderId="24" xfId="0" applyNumberFormat="1" applyFont="1" applyFill="1" applyBorder="1" applyAlignment="1"/>
    <xf numFmtId="0" fontId="9" fillId="0" borderId="0" xfId="0" applyFont="1" applyBorder="1" applyAlignment="1">
      <alignment wrapText="1"/>
    </xf>
    <xf numFmtId="0" fontId="7" fillId="0" borderId="9" xfId="0" applyFont="1" applyBorder="1" applyAlignment="1">
      <alignment wrapText="1"/>
    </xf>
    <xf numFmtId="0" fontId="9" fillId="0" borderId="0" xfId="0" applyFont="1" applyBorder="1" applyAlignment="1"/>
    <xf numFmtId="165" fontId="7" fillId="0" borderId="0" xfId="0" applyNumberFormat="1" applyFont="1"/>
    <xf numFmtId="0" fontId="7" fillId="5" borderId="2" xfId="0" applyFont="1" applyFill="1" applyBorder="1" applyAlignment="1">
      <alignment horizontal="justify" vertical="center"/>
    </xf>
    <xf numFmtId="0" fontId="7" fillId="5" borderId="2" xfId="0" applyFont="1" applyFill="1" applyBorder="1" applyAlignment="1">
      <alignment horizontal="justify" vertical="center" wrapText="1"/>
    </xf>
    <xf numFmtId="0" fontId="7" fillId="0" borderId="4" xfId="2" applyNumberFormat="1" applyFont="1" applyBorder="1" applyAlignment="1"/>
    <xf numFmtId="0" fontId="7" fillId="0" borderId="4" xfId="0" applyFont="1" applyFill="1" applyBorder="1" applyAlignment="1"/>
    <xf numFmtId="0" fontId="7" fillId="0" borderId="1" xfId="0" applyFont="1" applyBorder="1" applyAlignment="1">
      <alignment horizontal="center"/>
    </xf>
    <xf numFmtId="0" fontId="7" fillId="0" borderId="25" xfId="0" applyFont="1" applyBorder="1" applyAlignment="1">
      <alignment wrapText="1"/>
    </xf>
    <xf numFmtId="0" fontId="7" fillId="0" borderId="26" xfId="0" applyFont="1" applyBorder="1" applyAlignment="1">
      <alignment wrapText="1"/>
    </xf>
    <xf numFmtId="0" fontId="7" fillId="0" borderId="27" xfId="0" applyFont="1" applyBorder="1" applyAlignment="1">
      <alignment wrapText="1"/>
    </xf>
    <xf numFmtId="0" fontId="9" fillId="4" borderId="8" xfId="0" applyFont="1" applyFill="1" applyBorder="1" applyAlignment="1">
      <alignment wrapText="1"/>
    </xf>
    <xf numFmtId="0" fontId="9" fillId="4" borderId="3" xfId="0" applyFont="1" applyFill="1" applyBorder="1" applyAlignment="1">
      <alignment wrapText="1"/>
    </xf>
    <xf numFmtId="0" fontId="9" fillId="3" borderId="21" xfId="0" applyFont="1" applyFill="1" applyBorder="1" applyAlignment="1"/>
    <xf numFmtId="0" fontId="9" fillId="0" borderId="11" xfId="0" applyFont="1" applyBorder="1" applyAlignment="1">
      <alignment wrapText="1"/>
    </xf>
    <xf numFmtId="0" fontId="9" fillId="0" borderId="10" xfId="0" applyFont="1" applyBorder="1" applyAlignment="1">
      <alignment wrapText="1"/>
    </xf>
    <xf numFmtId="0" fontId="9" fillId="0" borderId="15" xfId="0" applyFont="1" applyBorder="1" applyAlignment="1">
      <alignment wrapText="1"/>
    </xf>
    <xf numFmtId="0" fontId="9" fillId="0" borderId="18" xfId="0" applyFont="1" applyBorder="1" applyAlignment="1">
      <alignment wrapText="1"/>
    </xf>
    <xf numFmtId="0" fontId="9" fillId="0" borderId="19" xfId="0" applyFont="1" applyBorder="1" applyAlignment="1">
      <alignment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7" fillId="4" borderId="8" xfId="0" applyFont="1" applyFill="1" applyBorder="1" applyAlignment="1">
      <alignment wrapText="1"/>
    </xf>
    <xf numFmtId="0" fontId="17" fillId="4" borderId="3" xfId="0" applyFont="1" applyFill="1" applyBorder="1" applyAlignment="1">
      <alignment wrapText="1"/>
    </xf>
    <xf numFmtId="0" fontId="7" fillId="0" borderId="5"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xf>
    <xf numFmtId="0" fontId="1" fillId="0" borderId="5" xfId="0" applyFont="1" applyBorder="1" applyAlignment="1">
      <alignment horizontal="justify" vertical="center"/>
    </xf>
    <xf numFmtId="0" fontId="1" fillId="0" borderId="6" xfId="0" applyFont="1" applyBorder="1" applyAlignment="1">
      <alignment horizontal="justify" vertical="center"/>
    </xf>
    <xf numFmtId="0" fontId="1" fillId="0" borderId="2" xfId="0" applyFont="1" applyBorder="1" applyAlignment="1">
      <alignment horizontal="justify" vertical="center"/>
    </xf>
    <xf numFmtId="0" fontId="1" fillId="0" borderId="7" xfId="0" applyFont="1" applyBorder="1" applyAlignment="1">
      <alignment horizontal="justify" vertical="center"/>
    </xf>
    <xf numFmtId="0" fontId="9" fillId="0" borderId="8" xfId="0" applyFont="1" applyBorder="1" applyAlignment="1"/>
    <xf numFmtId="0" fontId="9" fillId="0" borderId="3" xfId="0" applyFont="1" applyBorder="1" applyAlignment="1"/>
    <xf numFmtId="0" fontId="9" fillId="4" borderId="11" xfId="0" applyFont="1" applyFill="1" applyBorder="1" applyAlignment="1">
      <alignment wrapText="1"/>
    </xf>
    <xf numFmtId="0" fontId="3" fillId="0" borderId="17" xfId="0" applyFont="1" applyBorder="1" applyAlignment="1">
      <alignment horizontal="justify" vertical="center" wrapText="1"/>
    </xf>
    <xf numFmtId="0" fontId="4" fillId="0" borderId="0" xfId="0" applyFont="1" applyAlignment="1">
      <alignment horizontal="justify" vertical="center"/>
    </xf>
    <xf numFmtId="0" fontId="4" fillId="0" borderId="13" xfId="0" applyFont="1" applyBorder="1" applyAlignment="1">
      <alignment horizontal="justify"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4" xfId="0" applyFont="1" applyBorder="1" applyAlignment="1">
      <alignment horizontal="center" vertical="center"/>
    </xf>
    <xf numFmtId="0" fontId="3" fillId="0" borderId="0" xfId="0" applyFont="1" applyAlignment="1">
      <alignment horizontal="justify" vertical="center" wrapText="1"/>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164" fontId="7" fillId="0" borderId="4" xfId="2" applyFont="1" applyBorder="1" applyAlignment="1"/>
    <xf numFmtId="164" fontId="7" fillId="0" borderId="7" xfId="2" applyFont="1" applyBorder="1" applyAlignment="1"/>
  </cellXfs>
  <cellStyles count="3">
    <cellStyle name="Lien hypertexte" xfId="1" builtinId="8"/>
    <cellStyle name="Milliers" xfId="2" builtinId="3"/>
    <cellStyle name="Normal" xfId="0" builtinId="0"/>
  </cellStyles>
  <dxfs count="0"/>
  <tableStyles count="0" defaultTableStyle="TableStyleMedium2" defaultPivotStyle="PivotStyleLight16"/>
  <colors>
    <mruColors>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tabSelected="1" zoomScale="120" zoomScaleNormal="120" workbookViewId="0">
      <selection activeCell="F8" sqref="F8"/>
    </sheetView>
  </sheetViews>
  <sheetFormatPr baseColWidth="10" defaultColWidth="8.85546875" defaultRowHeight="12" x14ac:dyDescent="0.2"/>
  <cols>
    <col min="1" max="1" width="19.42578125" style="7" customWidth="1"/>
    <col min="2" max="2" width="11.85546875" style="7" customWidth="1"/>
    <col min="3" max="3" width="6.85546875" style="7" customWidth="1"/>
    <col min="4" max="4" width="5.5703125" style="7" customWidth="1"/>
    <col min="5" max="5" width="8.5703125" style="38" customWidth="1"/>
    <col min="6" max="6" width="23" style="7" customWidth="1"/>
    <col min="7" max="7" width="11.42578125" style="7" customWidth="1"/>
    <col min="8" max="8" width="11.28515625" style="7" customWidth="1"/>
    <col min="9" max="10" width="11.140625" style="7" customWidth="1"/>
    <col min="11" max="12" width="12.140625" style="7" bestFit="1" customWidth="1"/>
    <col min="13" max="13" width="9" style="7" customWidth="1"/>
    <col min="14" max="16" width="12.140625" style="7" bestFit="1" customWidth="1"/>
    <col min="17" max="17" width="12.7109375" style="7" customWidth="1"/>
    <col min="18" max="18" width="8.85546875" style="20"/>
    <col min="19" max="16384" width="8.85546875" style="7"/>
  </cols>
  <sheetData>
    <row r="1" spans="1:29" ht="12.75" thickBot="1" x14ac:dyDescent="0.25"/>
    <row r="2" spans="1:29" ht="12.75" thickBot="1" x14ac:dyDescent="0.25">
      <c r="A2" s="101" t="s">
        <v>0</v>
      </c>
      <c r="B2" s="102"/>
      <c r="C2" s="102"/>
      <c r="D2" s="103"/>
    </row>
    <row r="3" spans="1:29" ht="25.15" customHeight="1" thickBot="1" x14ac:dyDescent="0.25">
      <c r="A3" s="6" t="s">
        <v>1</v>
      </c>
      <c r="B3" s="79" t="s">
        <v>124</v>
      </c>
      <c r="C3" s="1" t="s">
        <v>2</v>
      </c>
      <c r="D3" s="80" t="s">
        <v>124</v>
      </c>
    </row>
    <row r="4" spans="1:29" ht="15" customHeight="1" thickBot="1" x14ac:dyDescent="0.25">
      <c r="A4" s="2" t="s">
        <v>3</v>
      </c>
      <c r="B4" s="106" t="s">
        <v>114</v>
      </c>
      <c r="C4" s="107"/>
      <c r="D4" s="108"/>
    </row>
    <row r="5" spans="1:29" ht="15" customHeight="1" thickBot="1" x14ac:dyDescent="0.25">
      <c r="A5" s="2" t="s">
        <v>4</v>
      </c>
      <c r="B5" s="109" t="s">
        <v>116</v>
      </c>
      <c r="C5" s="110"/>
      <c r="D5" s="111"/>
    </row>
    <row r="6" spans="1:29" ht="15" customHeight="1" thickBot="1" x14ac:dyDescent="0.25">
      <c r="A6" s="2" t="s">
        <v>5</v>
      </c>
      <c r="B6" s="109" t="s">
        <v>114</v>
      </c>
      <c r="C6" s="110"/>
      <c r="D6" s="111"/>
    </row>
    <row r="7" spans="1:29" ht="15" customHeight="1" thickBot="1" x14ac:dyDescent="0.25">
      <c r="A7" s="2" t="s">
        <v>6</v>
      </c>
      <c r="B7" s="109">
        <v>5433</v>
      </c>
      <c r="C7" s="110"/>
      <c r="D7" s="112"/>
    </row>
    <row r="8" spans="1:29" ht="25.9" customHeight="1" thickBot="1" x14ac:dyDescent="0.25">
      <c r="A8" s="3" t="s">
        <v>7</v>
      </c>
      <c r="B8" s="109" t="s">
        <v>115</v>
      </c>
      <c r="C8" s="110"/>
      <c r="D8" s="111"/>
    </row>
    <row r="9" spans="1:29" ht="18.600000000000001" customHeight="1" thickBot="1" x14ac:dyDescent="0.25"/>
    <row r="10" spans="1:29" ht="33.6" customHeight="1" x14ac:dyDescent="0.2">
      <c r="A10" s="113" t="s">
        <v>8</v>
      </c>
      <c r="B10" s="39" t="s">
        <v>9</v>
      </c>
      <c r="C10" s="87" t="s">
        <v>10</v>
      </c>
      <c r="D10" s="87" t="s">
        <v>11</v>
      </c>
      <c r="E10" s="87" t="s">
        <v>12</v>
      </c>
      <c r="F10" s="87" t="s">
        <v>13</v>
      </c>
      <c r="G10" s="87" t="s">
        <v>14</v>
      </c>
      <c r="H10" s="87" t="s">
        <v>15</v>
      </c>
      <c r="I10" s="87" t="s">
        <v>16</v>
      </c>
      <c r="J10" s="87" t="s">
        <v>120</v>
      </c>
      <c r="K10" s="87" t="s">
        <v>121</v>
      </c>
      <c r="L10" s="87" t="s">
        <v>122</v>
      </c>
      <c r="M10" s="104" t="s">
        <v>17</v>
      </c>
      <c r="N10" s="99"/>
      <c r="O10" s="99"/>
      <c r="P10" s="99"/>
      <c r="Q10" s="95"/>
      <c r="R10" s="97" t="s">
        <v>17</v>
      </c>
    </row>
    <row r="11" spans="1:29" ht="40.15" customHeight="1" thickBot="1" x14ac:dyDescent="0.25">
      <c r="A11" s="114"/>
      <c r="B11" s="40" t="s">
        <v>18</v>
      </c>
      <c r="C11" s="88"/>
      <c r="D11" s="115"/>
      <c r="E11" s="88"/>
      <c r="F11" s="88"/>
      <c r="G11" s="88"/>
      <c r="H11" s="88"/>
      <c r="I11" s="88"/>
      <c r="J11" s="88"/>
      <c r="K11" s="88"/>
      <c r="L11" s="88"/>
      <c r="M11" s="105"/>
      <c r="N11" s="100"/>
      <c r="O11" s="100"/>
      <c r="P11" s="100"/>
      <c r="Q11" s="96"/>
      <c r="R11" s="98"/>
    </row>
    <row r="12" spans="1:29" ht="18.75" customHeight="1" thickBot="1" x14ac:dyDescent="0.25">
      <c r="A12" s="41" t="s">
        <v>19</v>
      </c>
      <c r="B12" s="84" t="s">
        <v>117</v>
      </c>
      <c r="C12" s="42">
        <v>62160</v>
      </c>
      <c r="D12" s="42" t="s">
        <v>119</v>
      </c>
      <c r="E12" s="42">
        <v>71200</v>
      </c>
      <c r="F12" s="43" t="s">
        <v>21</v>
      </c>
      <c r="G12" s="44">
        <f>600*45</f>
        <v>27000</v>
      </c>
      <c r="H12" s="132">
        <f>600*75</f>
        <v>45000</v>
      </c>
      <c r="I12" s="44">
        <f>600*45</f>
        <v>27000</v>
      </c>
      <c r="J12" s="43">
        <f>600*30</f>
        <v>18000</v>
      </c>
      <c r="K12" s="43">
        <f>600*30</f>
        <v>18000</v>
      </c>
      <c r="L12" s="44">
        <f>SUM(G12:K12)</f>
        <v>135000</v>
      </c>
      <c r="M12" s="42">
        <v>1</v>
      </c>
      <c r="N12" s="9"/>
      <c r="O12" s="9"/>
      <c r="P12" s="9"/>
      <c r="Q12" s="9"/>
      <c r="R12" s="21">
        <v>1</v>
      </c>
      <c r="U12" s="30">
        <v>62000</v>
      </c>
      <c r="V12" s="31" t="s">
        <v>20</v>
      </c>
      <c r="W12" s="31">
        <v>71200</v>
      </c>
      <c r="X12" s="32" t="s">
        <v>21</v>
      </c>
      <c r="Y12" s="33">
        <v>34000</v>
      </c>
      <c r="Z12" s="33">
        <v>22525</v>
      </c>
      <c r="AA12" s="32" t="s">
        <v>22</v>
      </c>
      <c r="AB12" s="33">
        <v>56525</v>
      </c>
      <c r="AC12" s="31" t="s">
        <v>23</v>
      </c>
    </row>
    <row r="13" spans="1:29" ht="15" customHeight="1" thickBot="1" x14ac:dyDescent="0.25">
      <c r="A13" s="41" t="s">
        <v>24</v>
      </c>
      <c r="B13" s="85"/>
      <c r="C13" s="42">
        <v>62160</v>
      </c>
      <c r="D13" s="42" t="s">
        <v>119</v>
      </c>
      <c r="E13" s="45">
        <v>71300</v>
      </c>
      <c r="F13" s="46" t="s">
        <v>25</v>
      </c>
      <c r="G13" s="47">
        <f>300*60</f>
        <v>18000</v>
      </c>
      <c r="H13" s="131">
        <f>300*100</f>
        <v>30000</v>
      </c>
      <c r="I13" s="47">
        <f t="shared" ref="I13:K13" si="0">300*60</f>
        <v>18000</v>
      </c>
      <c r="J13" s="47">
        <f t="shared" si="0"/>
        <v>18000</v>
      </c>
      <c r="K13" s="47">
        <f t="shared" si="0"/>
        <v>18000</v>
      </c>
      <c r="L13" s="44">
        <f>SUM(G13:K13)</f>
        <v>102000</v>
      </c>
      <c r="M13" s="42">
        <f>M12+1</f>
        <v>2</v>
      </c>
      <c r="N13" s="9"/>
      <c r="O13" s="9"/>
      <c r="P13" s="9"/>
      <c r="Q13" s="9"/>
      <c r="R13" s="21">
        <v>2</v>
      </c>
      <c r="U13" s="34">
        <v>62000</v>
      </c>
      <c r="V13" s="35" t="s">
        <v>20</v>
      </c>
      <c r="W13" s="35">
        <v>71300</v>
      </c>
      <c r="X13" s="36" t="s">
        <v>25</v>
      </c>
      <c r="Y13" s="37">
        <v>34000</v>
      </c>
      <c r="Z13" s="37">
        <v>24000</v>
      </c>
      <c r="AA13" s="37">
        <v>24400</v>
      </c>
      <c r="AB13" s="37">
        <v>82400</v>
      </c>
      <c r="AC13" s="35" t="s">
        <v>26</v>
      </c>
    </row>
    <row r="14" spans="1:29" ht="15" customHeight="1" thickBot="1" x14ac:dyDescent="0.25">
      <c r="A14" s="75"/>
      <c r="B14" s="85"/>
      <c r="C14" s="42">
        <v>62160</v>
      </c>
      <c r="D14" s="42" t="s">
        <v>119</v>
      </c>
      <c r="E14" s="45">
        <v>71600</v>
      </c>
      <c r="F14" s="46" t="s">
        <v>35</v>
      </c>
      <c r="G14" s="47">
        <f>(50000/300)*60</f>
        <v>10000</v>
      </c>
      <c r="H14" s="131">
        <f>(50000/300)*100</f>
        <v>16666.666666666664</v>
      </c>
      <c r="I14" s="47">
        <f t="shared" ref="I14" si="1">(50000/300)*60</f>
        <v>10000</v>
      </c>
      <c r="J14" s="47">
        <f>(50000/300)*40</f>
        <v>6666.6666666666661</v>
      </c>
      <c r="K14" s="47">
        <f>(50000/300)*40</f>
        <v>6666.6666666666661</v>
      </c>
      <c r="L14" s="44">
        <f t="shared" ref="L14:L18" si="2">SUM(G14:K14)</f>
        <v>49999.999999999993</v>
      </c>
      <c r="M14" s="42">
        <f t="shared" ref="M14:M17" si="3">M13+1</f>
        <v>3</v>
      </c>
      <c r="N14" s="9"/>
      <c r="O14" s="9"/>
      <c r="P14" s="9"/>
      <c r="Q14" s="9"/>
      <c r="R14" s="21"/>
      <c r="U14" s="34"/>
      <c r="V14" s="35"/>
      <c r="W14" s="35"/>
      <c r="X14" s="36"/>
      <c r="Y14" s="37"/>
      <c r="Z14" s="37"/>
      <c r="AA14" s="37"/>
      <c r="AB14" s="37"/>
      <c r="AC14" s="35"/>
    </row>
    <row r="15" spans="1:29" ht="15" customHeight="1" thickBot="1" x14ac:dyDescent="0.25">
      <c r="A15" s="23"/>
      <c r="B15" s="85"/>
      <c r="C15" s="42">
        <v>62160</v>
      </c>
      <c r="D15" s="42" t="s">
        <v>119</v>
      </c>
      <c r="E15" s="45">
        <v>72200</v>
      </c>
      <c r="F15" s="46" t="s">
        <v>43</v>
      </c>
      <c r="G15" s="47">
        <f>(40000/300)*60</f>
        <v>8000.0000000000009</v>
      </c>
      <c r="H15" s="131">
        <f>(40000/300)*100</f>
        <v>13333.333333333334</v>
      </c>
      <c r="I15" s="47">
        <f>(40000/300)*60</f>
        <v>8000.0000000000009</v>
      </c>
      <c r="J15" s="47">
        <f>(40000/300)*40</f>
        <v>5333.3333333333339</v>
      </c>
      <c r="K15" s="47">
        <f>(40000/300)*40</f>
        <v>5333.3333333333339</v>
      </c>
      <c r="L15" s="44">
        <f t="shared" si="2"/>
        <v>40000.000000000007</v>
      </c>
      <c r="M15" s="42">
        <f t="shared" si="3"/>
        <v>4</v>
      </c>
      <c r="N15" s="10"/>
      <c r="O15" s="10"/>
      <c r="P15" s="10"/>
      <c r="Q15" s="9"/>
      <c r="R15" s="18">
        <v>3</v>
      </c>
      <c r="U15" s="34">
        <v>62000</v>
      </c>
      <c r="V15" s="35" t="s">
        <v>20</v>
      </c>
      <c r="W15" s="35">
        <v>72100</v>
      </c>
      <c r="X15" s="36" t="s">
        <v>27</v>
      </c>
      <c r="Y15" s="37">
        <v>30000</v>
      </c>
      <c r="Z15" s="37">
        <v>24000</v>
      </c>
      <c r="AA15" s="37">
        <v>7200</v>
      </c>
      <c r="AB15" s="37">
        <v>61200</v>
      </c>
      <c r="AC15" s="35" t="s">
        <v>28</v>
      </c>
    </row>
    <row r="16" spans="1:29" ht="15" customHeight="1" thickBot="1" x14ac:dyDescent="0.25">
      <c r="A16" s="48"/>
      <c r="B16" s="85"/>
      <c r="C16" s="42">
        <v>62160</v>
      </c>
      <c r="D16" s="42" t="s">
        <v>119</v>
      </c>
      <c r="E16" s="45">
        <v>75700</v>
      </c>
      <c r="F16" s="82" t="s">
        <v>44</v>
      </c>
      <c r="G16" s="47">
        <f>(220000/300)*60</f>
        <v>44000</v>
      </c>
      <c r="H16" s="131">
        <f>(220000/300)*100</f>
        <v>73333.333333333343</v>
      </c>
      <c r="I16" s="47">
        <f>(220000/300)*60</f>
        <v>44000</v>
      </c>
      <c r="J16" s="47">
        <f>(220000/300)*40</f>
        <v>29333.333333333336</v>
      </c>
      <c r="K16" s="47">
        <f>(220000/300)*40</f>
        <v>29333.333333333336</v>
      </c>
      <c r="L16" s="44">
        <f t="shared" si="2"/>
        <v>220000.00000000003</v>
      </c>
      <c r="M16" s="42">
        <f t="shared" si="3"/>
        <v>5</v>
      </c>
      <c r="N16" s="10"/>
      <c r="O16" s="10"/>
      <c r="P16" s="10"/>
      <c r="Q16" s="9"/>
      <c r="R16" s="18">
        <v>4</v>
      </c>
      <c r="U16" s="34">
        <v>62000</v>
      </c>
      <c r="V16" s="35" t="s">
        <v>20</v>
      </c>
      <c r="W16" s="35">
        <v>75700</v>
      </c>
      <c r="X16" s="36" t="s">
        <v>29</v>
      </c>
      <c r="Y16" s="37">
        <v>20000</v>
      </c>
      <c r="Z16" s="37">
        <v>20000</v>
      </c>
      <c r="AA16" s="36" t="s">
        <v>22</v>
      </c>
      <c r="AB16" s="37">
        <v>40000</v>
      </c>
      <c r="AC16" s="35" t="s">
        <v>30</v>
      </c>
    </row>
    <row r="17" spans="1:29" ht="15" customHeight="1" thickBot="1" x14ac:dyDescent="0.25">
      <c r="A17" s="48"/>
      <c r="B17" s="85"/>
      <c r="C17" s="81">
        <v>62160</v>
      </c>
      <c r="D17" s="53" t="s">
        <v>119</v>
      </c>
      <c r="E17" s="51">
        <f>IFERROR(VLOOKUP(TBWP!F17,accounts!A:B,2,FALSE), " ")</f>
        <v>74200</v>
      </c>
      <c r="F17" s="58" t="s">
        <v>59</v>
      </c>
      <c r="G17" s="47">
        <f>(20000/300)*60</f>
        <v>4000.0000000000005</v>
      </c>
      <c r="H17" s="131">
        <f>(20000/300)*80</f>
        <v>5333.3333333333339</v>
      </c>
      <c r="I17" s="47">
        <f t="shared" ref="I17" si="4">(20000/300)*60</f>
        <v>4000.0000000000005</v>
      </c>
      <c r="J17" s="47">
        <f>(20000/300)*40</f>
        <v>2666.666666666667</v>
      </c>
      <c r="K17" s="47">
        <f>(20000/300)*60</f>
        <v>4000.0000000000005</v>
      </c>
      <c r="L17" s="44">
        <f t="shared" si="2"/>
        <v>20000</v>
      </c>
      <c r="M17" s="42">
        <f t="shared" si="3"/>
        <v>6</v>
      </c>
      <c r="N17" s="10"/>
      <c r="O17" s="10"/>
      <c r="P17" s="10"/>
      <c r="Q17" s="9"/>
      <c r="R17" s="18"/>
      <c r="U17" s="34"/>
      <c r="V17" s="35"/>
      <c r="W17" s="35"/>
      <c r="X17" s="36"/>
      <c r="Y17" s="37"/>
      <c r="Z17" s="37"/>
      <c r="AA17" s="36"/>
      <c r="AB17" s="37"/>
      <c r="AC17" s="35"/>
    </row>
    <row r="18" spans="1:29" ht="15" customHeight="1" thickBot="1" x14ac:dyDescent="0.25">
      <c r="A18" s="48"/>
      <c r="B18" s="85"/>
      <c r="C18" s="42">
        <v>62160</v>
      </c>
      <c r="D18" s="42" t="s">
        <v>119</v>
      </c>
      <c r="E18" s="45">
        <v>74500</v>
      </c>
      <c r="F18" s="46" t="s">
        <v>31</v>
      </c>
      <c r="G18" s="47">
        <v>2000</v>
      </c>
      <c r="H18" s="131">
        <v>2000</v>
      </c>
      <c r="I18" s="47">
        <v>2000</v>
      </c>
      <c r="J18" s="47">
        <v>2000</v>
      </c>
      <c r="K18" s="47">
        <v>2000</v>
      </c>
      <c r="L18" s="44">
        <f t="shared" si="2"/>
        <v>10000</v>
      </c>
      <c r="M18" s="42">
        <f>M17+1</f>
        <v>7</v>
      </c>
      <c r="N18" s="10"/>
      <c r="O18" s="10"/>
      <c r="P18" s="10"/>
      <c r="Q18" s="9"/>
      <c r="R18" s="18">
        <v>5</v>
      </c>
      <c r="U18" s="34">
        <v>62000</v>
      </c>
      <c r="V18" s="35" t="s">
        <v>20</v>
      </c>
      <c r="W18" s="35">
        <v>74500</v>
      </c>
      <c r="X18" s="36" t="s">
        <v>31</v>
      </c>
      <c r="Y18" s="37">
        <v>1475</v>
      </c>
      <c r="Z18" s="37">
        <v>1475</v>
      </c>
      <c r="AA18" s="36">
        <v>450</v>
      </c>
      <c r="AB18" s="37">
        <v>3400</v>
      </c>
      <c r="AC18" s="35" t="s">
        <v>32</v>
      </c>
    </row>
    <row r="19" spans="1:29" ht="15" customHeight="1" thickBot="1" x14ac:dyDescent="0.25">
      <c r="A19" s="49"/>
      <c r="B19" s="86"/>
      <c r="C19" s="68"/>
      <c r="D19" s="68"/>
      <c r="E19" s="68"/>
      <c r="F19" s="70" t="s">
        <v>40</v>
      </c>
      <c r="G19" s="68">
        <f>SUM(G12:G18)</f>
        <v>113000</v>
      </c>
      <c r="H19" s="68">
        <f>SUM(H12:H18)</f>
        <v>185666.66666666666</v>
      </c>
      <c r="I19" s="68">
        <f>SUM(I12:I18)</f>
        <v>113000</v>
      </c>
      <c r="J19" s="68">
        <f>SUM(J12:J18)</f>
        <v>82000.000000000015</v>
      </c>
      <c r="K19" s="68">
        <f>SUM(K12:K18)</f>
        <v>83333.333333333343</v>
      </c>
      <c r="L19" s="69">
        <f t="shared" ref="L19:L48" si="5">SUM(G19:K19)</f>
        <v>577000</v>
      </c>
      <c r="M19" s="69"/>
      <c r="N19" s="11"/>
      <c r="O19" s="11"/>
      <c r="P19" s="11"/>
      <c r="Q19" s="11"/>
      <c r="R19" s="22"/>
      <c r="U19" s="34">
        <v>62000</v>
      </c>
      <c r="V19" s="35" t="s">
        <v>20</v>
      </c>
      <c r="W19" s="35">
        <v>75700</v>
      </c>
      <c r="X19" s="36" t="s">
        <v>33</v>
      </c>
      <c r="Y19" s="36">
        <v>714</v>
      </c>
      <c r="Z19" s="36">
        <v>714</v>
      </c>
      <c r="AA19" s="36">
        <v>286</v>
      </c>
      <c r="AB19" s="37">
        <v>1714</v>
      </c>
      <c r="AC19" s="35" t="s">
        <v>34</v>
      </c>
    </row>
    <row r="20" spans="1:29" ht="15" customHeight="1" thickTop="1" thickBot="1" x14ac:dyDescent="0.25">
      <c r="A20" s="50" t="s">
        <v>19</v>
      </c>
      <c r="B20" s="90" t="s">
        <v>117</v>
      </c>
      <c r="C20" s="42">
        <v>62160</v>
      </c>
      <c r="D20" s="42" t="s">
        <v>119</v>
      </c>
      <c r="E20" s="51">
        <f>IFERROR(VLOOKUP(TBWP!F20,accounts!A:B,2,FALSE), " ")</f>
        <v>71200</v>
      </c>
      <c r="F20" s="52" t="s">
        <v>21</v>
      </c>
      <c r="G20" s="53">
        <f>600*15</f>
        <v>9000</v>
      </c>
      <c r="H20" s="131">
        <f>600*40</f>
        <v>24000</v>
      </c>
      <c r="I20" s="53">
        <f>600*50</f>
        <v>30000</v>
      </c>
      <c r="J20" s="53">
        <f>600*45</f>
        <v>27000</v>
      </c>
      <c r="K20" s="53">
        <f>600*45</f>
        <v>27000</v>
      </c>
      <c r="L20" s="44">
        <f t="shared" si="5"/>
        <v>117000</v>
      </c>
      <c r="M20" s="42">
        <f>M18+1</f>
        <v>8</v>
      </c>
      <c r="N20" s="10"/>
      <c r="O20" s="10"/>
      <c r="P20" s="10"/>
      <c r="Q20" s="9"/>
      <c r="R20" s="18">
        <v>13</v>
      </c>
      <c r="U20" s="34">
        <v>62000</v>
      </c>
      <c r="V20" s="35" t="s">
        <v>20</v>
      </c>
      <c r="W20" s="35">
        <v>71600</v>
      </c>
      <c r="X20" s="36" t="s">
        <v>35</v>
      </c>
      <c r="Y20" s="36">
        <v>200</v>
      </c>
      <c r="Z20" s="36">
        <v>400</v>
      </c>
      <c r="AA20" s="36">
        <v>100</v>
      </c>
      <c r="AB20" s="36">
        <v>700</v>
      </c>
      <c r="AC20" s="35" t="s">
        <v>36</v>
      </c>
    </row>
    <row r="21" spans="1:29" ht="15" customHeight="1" thickBot="1" x14ac:dyDescent="0.25">
      <c r="A21" s="50" t="s">
        <v>41</v>
      </c>
      <c r="B21" s="90"/>
      <c r="C21" s="42">
        <v>62160</v>
      </c>
      <c r="D21" s="42" t="s">
        <v>119</v>
      </c>
      <c r="E21" s="51">
        <f>IFERROR(VLOOKUP(TBWP!F21,accounts!A:B,2,FALSE), " ")</f>
        <v>71300</v>
      </c>
      <c r="F21" s="52" t="s">
        <v>25</v>
      </c>
      <c r="G21" s="53">
        <f>200*60</f>
        <v>12000</v>
      </c>
      <c r="H21" s="131">
        <f>200*70</f>
        <v>14000</v>
      </c>
      <c r="I21" s="53">
        <f>200*80</f>
        <v>16000</v>
      </c>
      <c r="J21" s="53">
        <f>200*70</f>
        <v>14000</v>
      </c>
      <c r="K21" s="53">
        <f>200*70</f>
        <v>14000</v>
      </c>
      <c r="L21" s="44">
        <f t="shared" si="5"/>
        <v>70000</v>
      </c>
      <c r="M21" s="42">
        <f>M20+1</f>
        <v>9</v>
      </c>
      <c r="N21" s="10"/>
      <c r="O21" s="10"/>
      <c r="P21" s="10"/>
      <c r="Q21" s="9"/>
      <c r="R21" s="18">
        <v>14</v>
      </c>
      <c r="U21" s="34">
        <v>62000</v>
      </c>
      <c r="V21" s="35" t="s">
        <v>20</v>
      </c>
      <c r="W21" s="35">
        <v>72500</v>
      </c>
      <c r="X21" s="36" t="s">
        <v>37</v>
      </c>
      <c r="Y21" s="36">
        <v>50</v>
      </c>
      <c r="Z21" s="36">
        <v>50</v>
      </c>
      <c r="AA21" s="36">
        <v>50</v>
      </c>
      <c r="AB21" s="36">
        <v>150</v>
      </c>
      <c r="AC21" s="35" t="s">
        <v>38</v>
      </c>
    </row>
    <row r="22" spans="1:29" ht="15" customHeight="1" thickBot="1" x14ac:dyDescent="0.25">
      <c r="A22" s="77"/>
      <c r="B22" s="90"/>
      <c r="C22" s="42">
        <v>62160</v>
      </c>
      <c r="D22" s="42" t="s">
        <v>119</v>
      </c>
      <c r="E22" s="51">
        <f>IFERROR(VLOOKUP(TBWP!F22,accounts!A:B,2,FALSE), " ")</f>
        <v>71600</v>
      </c>
      <c r="F22" s="52" t="s">
        <v>35</v>
      </c>
      <c r="G22" s="53">
        <f>(80000/270)*20</f>
        <v>5925.9259259259261</v>
      </c>
      <c r="H22" s="131">
        <f>(80000/270)*60</f>
        <v>17777.777777777777</v>
      </c>
      <c r="I22" s="53">
        <f>(80000/270)*70</f>
        <v>20740.740740740741</v>
      </c>
      <c r="J22" s="53">
        <f t="shared" ref="J22:K22" si="6">(80000/270)*60</f>
        <v>17777.777777777777</v>
      </c>
      <c r="K22" s="53">
        <f t="shared" si="6"/>
        <v>17777.777777777777</v>
      </c>
      <c r="L22" s="44">
        <f t="shared" ref="L22:L23" si="7">SUM(G22:K22)</f>
        <v>80000</v>
      </c>
      <c r="M22" s="42">
        <f>M21+1</f>
        <v>10</v>
      </c>
      <c r="N22" s="10"/>
      <c r="O22" s="10"/>
      <c r="P22" s="10"/>
      <c r="Q22" s="9"/>
      <c r="R22" s="18"/>
      <c r="U22" s="34"/>
      <c r="V22" s="35"/>
      <c r="W22" s="35"/>
      <c r="X22" s="36"/>
      <c r="Y22" s="36"/>
      <c r="Z22" s="36"/>
      <c r="AA22" s="36"/>
      <c r="AB22" s="36"/>
      <c r="AC22" s="35"/>
    </row>
    <row r="23" spans="1:29" ht="15" customHeight="1" thickBot="1" x14ac:dyDescent="0.25">
      <c r="A23" s="23"/>
      <c r="B23" s="90"/>
      <c r="C23" s="42">
        <v>62160</v>
      </c>
      <c r="D23" s="42" t="s">
        <v>119</v>
      </c>
      <c r="E23" s="51">
        <f>IFERROR(VLOOKUP(TBWP!F23,accounts!A:B,2,FALSE), " ")</f>
        <v>72100</v>
      </c>
      <c r="F23" s="52" t="s">
        <v>42</v>
      </c>
      <c r="G23" s="53">
        <f>(1398300/270)*20</f>
        <v>103577.77777777778</v>
      </c>
      <c r="H23" s="131">
        <f>(1398300/270)*60</f>
        <v>310733.33333333331</v>
      </c>
      <c r="I23" s="53">
        <f>(1398300/270)*70</f>
        <v>362522.22222222219</v>
      </c>
      <c r="J23" s="53">
        <f>(1398300/270)*60</f>
        <v>310733.33333333331</v>
      </c>
      <c r="K23" s="53">
        <f>(1398300/270)*60</f>
        <v>310733.33333333331</v>
      </c>
      <c r="L23" s="44">
        <f t="shared" si="7"/>
        <v>1398299.9999999998</v>
      </c>
      <c r="M23" s="42">
        <f t="shared" ref="M23:M26" si="8">M22+1</f>
        <v>11</v>
      </c>
      <c r="N23" s="10"/>
      <c r="O23" s="10"/>
      <c r="P23" s="10"/>
      <c r="Q23" s="9"/>
      <c r="R23" s="18">
        <v>15</v>
      </c>
      <c r="U23" s="34">
        <v>62000</v>
      </c>
      <c r="V23" s="35" t="s">
        <v>20</v>
      </c>
      <c r="W23" s="35">
        <v>74500</v>
      </c>
      <c r="X23" s="36" t="s">
        <v>31</v>
      </c>
      <c r="Y23" s="36">
        <v>100</v>
      </c>
      <c r="Z23" s="36">
        <v>100</v>
      </c>
      <c r="AA23" s="36">
        <v>100</v>
      </c>
      <c r="AB23" s="36">
        <v>300</v>
      </c>
      <c r="AC23" s="35" t="s">
        <v>39</v>
      </c>
    </row>
    <row r="24" spans="1:29" ht="15" customHeight="1" thickBot="1" x14ac:dyDescent="0.25">
      <c r="A24" s="54"/>
      <c r="B24" s="90"/>
      <c r="C24" s="42">
        <v>62160</v>
      </c>
      <c r="D24" s="42" t="s">
        <v>119</v>
      </c>
      <c r="E24" s="51">
        <v>72300</v>
      </c>
      <c r="F24" s="52" t="s">
        <v>50</v>
      </c>
      <c r="G24" s="53">
        <f>(400000/270)*20</f>
        <v>29629.629629629631</v>
      </c>
      <c r="H24" s="131">
        <f>(400000/270)*60</f>
        <v>88888.888888888891</v>
      </c>
      <c r="I24" s="53">
        <f>(400000/270)*70</f>
        <v>103703.70370370371</v>
      </c>
      <c r="J24" s="53">
        <f t="shared" ref="J24:K24" si="9">(400000/270)*60</f>
        <v>88888.888888888891</v>
      </c>
      <c r="K24" s="53">
        <f t="shared" si="9"/>
        <v>88888.888888888891</v>
      </c>
      <c r="L24" s="44">
        <f t="shared" si="5"/>
        <v>400000</v>
      </c>
      <c r="M24" s="42">
        <f t="shared" si="8"/>
        <v>12</v>
      </c>
      <c r="N24" s="10"/>
      <c r="O24" s="10"/>
      <c r="P24" s="10"/>
      <c r="Q24" s="9"/>
      <c r="R24" s="18"/>
    </row>
    <row r="25" spans="1:29" ht="15" customHeight="1" thickBot="1" x14ac:dyDescent="0.25">
      <c r="A25" s="54"/>
      <c r="B25" s="90"/>
      <c r="C25" s="81">
        <v>62160</v>
      </c>
      <c r="D25" s="53" t="s">
        <v>119</v>
      </c>
      <c r="E25" s="81">
        <f>IFERROR(VLOOKUP(TBWP!F25,accounts!A:B,2,FALSE), " ")</f>
        <v>75700</v>
      </c>
      <c r="F25" s="53" t="s">
        <v>44</v>
      </c>
      <c r="G25" s="53">
        <f>(100000/270)*20</f>
        <v>7407.4074074074078</v>
      </c>
      <c r="H25" s="131">
        <f>(100000/270)*60</f>
        <v>22222.222222222223</v>
      </c>
      <c r="I25" s="53">
        <f>(100000/270)*70</f>
        <v>25925.925925925927</v>
      </c>
      <c r="J25" s="53">
        <f t="shared" ref="J25:K25" si="10">(100000/270)*60</f>
        <v>22222.222222222223</v>
      </c>
      <c r="K25" s="53">
        <f t="shared" si="10"/>
        <v>22222.222222222223</v>
      </c>
      <c r="L25" s="44">
        <f t="shared" si="5"/>
        <v>100000</v>
      </c>
      <c r="M25" s="42">
        <f t="shared" si="8"/>
        <v>13</v>
      </c>
      <c r="N25" s="10"/>
      <c r="O25" s="10"/>
      <c r="P25" s="10"/>
      <c r="Q25" s="9"/>
      <c r="R25" s="18"/>
    </row>
    <row r="26" spans="1:29" ht="15" customHeight="1" thickBot="1" x14ac:dyDescent="0.25">
      <c r="A26" s="54"/>
      <c r="B26" s="90"/>
      <c r="C26" s="81">
        <v>62160</v>
      </c>
      <c r="D26" s="53" t="s">
        <v>119</v>
      </c>
      <c r="E26" s="51">
        <f>IFERROR(VLOOKUP(TBWP!F26,accounts!A:B,2,FALSE), " ")</f>
        <v>74200</v>
      </c>
      <c r="F26" s="58" t="s">
        <v>59</v>
      </c>
      <c r="G26" s="47">
        <f>(20000/300)*60</f>
        <v>4000.0000000000005</v>
      </c>
      <c r="H26" s="131">
        <f>(20000/300)*80</f>
        <v>5333.3333333333339</v>
      </c>
      <c r="I26" s="47">
        <f t="shared" ref="I26" si="11">(20000/300)*60</f>
        <v>4000.0000000000005</v>
      </c>
      <c r="J26" s="47">
        <f>(20000/300)*40</f>
        <v>2666.666666666667</v>
      </c>
      <c r="K26" s="47">
        <f>(20000/300)*60</f>
        <v>4000.0000000000005</v>
      </c>
      <c r="L26" s="44">
        <f t="shared" si="5"/>
        <v>20000</v>
      </c>
      <c r="M26" s="42">
        <f t="shared" si="8"/>
        <v>14</v>
      </c>
      <c r="N26" s="10"/>
      <c r="O26" s="10"/>
      <c r="P26" s="10"/>
      <c r="Q26" s="9"/>
      <c r="R26" s="18"/>
    </row>
    <row r="27" spans="1:29" ht="15" customHeight="1" thickBot="1" x14ac:dyDescent="0.25">
      <c r="A27" s="54"/>
      <c r="B27" s="90"/>
      <c r="C27" s="42">
        <v>62160</v>
      </c>
      <c r="D27" s="42" t="s">
        <v>119</v>
      </c>
      <c r="E27" s="45">
        <v>74500</v>
      </c>
      <c r="F27" s="53" t="s">
        <v>31</v>
      </c>
      <c r="G27" s="53">
        <v>2500</v>
      </c>
      <c r="H27" s="131">
        <v>2500</v>
      </c>
      <c r="I27" s="53">
        <v>2500</v>
      </c>
      <c r="J27" s="53">
        <v>2500</v>
      </c>
      <c r="K27" s="53">
        <v>2500</v>
      </c>
      <c r="L27" s="44">
        <f t="shared" si="5"/>
        <v>12500</v>
      </c>
      <c r="M27" s="42">
        <f>M26+1</f>
        <v>15</v>
      </c>
      <c r="N27" s="10"/>
      <c r="O27" s="10"/>
      <c r="P27" s="10"/>
      <c r="Q27" s="9"/>
      <c r="R27" s="18">
        <v>18</v>
      </c>
    </row>
    <row r="28" spans="1:29" ht="15" customHeight="1" thickBot="1" x14ac:dyDescent="0.25">
      <c r="A28" s="55"/>
      <c r="B28" s="91"/>
      <c r="C28" s="68"/>
      <c r="D28" s="68"/>
      <c r="E28" s="68"/>
      <c r="F28" s="66" t="s">
        <v>48</v>
      </c>
      <c r="G28" s="68">
        <f>SUM(G20:G27)</f>
        <v>174040.74074074076</v>
      </c>
      <c r="H28" s="68">
        <f t="shared" ref="H28:K28" si="12">SUM(H20:H27)</f>
        <v>485455.55555555556</v>
      </c>
      <c r="I28" s="68">
        <f t="shared" si="12"/>
        <v>565392.59259259258</v>
      </c>
      <c r="J28" s="68">
        <f t="shared" si="12"/>
        <v>485788.88888888893</v>
      </c>
      <c r="K28" s="68">
        <f t="shared" si="12"/>
        <v>487122.22222222225</v>
      </c>
      <c r="L28" s="69">
        <f t="shared" si="5"/>
        <v>2197800</v>
      </c>
      <c r="M28" s="69"/>
      <c r="N28" s="11"/>
      <c r="O28" s="11"/>
      <c r="P28" s="11"/>
      <c r="Q28" s="11"/>
      <c r="R28" s="19"/>
    </row>
    <row r="29" spans="1:29" ht="15" customHeight="1" thickTop="1" thickBot="1" x14ac:dyDescent="0.25">
      <c r="A29" s="50" t="s">
        <v>19</v>
      </c>
      <c r="B29" s="92" t="s">
        <v>117</v>
      </c>
      <c r="C29" s="42">
        <v>62160</v>
      </c>
      <c r="D29" s="42" t="s">
        <v>119</v>
      </c>
      <c r="E29" s="51">
        <f>IFERROR(VLOOKUP(TBWP!F29,accounts!A:B,2,FALSE), " ")</f>
        <v>71200</v>
      </c>
      <c r="F29" s="53" t="s">
        <v>21</v>
      </c>
      <c r="G29" s="53">
        <f>600*20</f>
        <v>12000</v>
      </c>
      <c r="H29" s="53">
        <f>600*40</f>
        <v>24000</v>
      </c>
      <c r="I29" s="53">
        <f>600*30</f>
        <v>18000</v>
      </c>
      <c r="J29" s="53">
        <f>600*30</f>
        <v>18000</v>
      </c>
      <c r="K29" s="53">
        <f>600*55</f>
        <v>33000</v>
      </c>
      <c r="L29" s="44">
        <f t="shared" si="5"/>
        <v>105000</v>
      </c>
      <c r="M29" s="42">
        <f>M27+1</f>
        <v>16</v>
      </c>
      <c r="N29" s="10"/>
      <c r="O29" s="10"/>
      <c r="P29" s="10"/>
      <c r="Q29" s="9"/>
      <c r="R29" s="18">
        <v>24</v>
      </c>
    </row>
    <row r="30" spans="1:29" ht="15" customHeight="1" thickBot="1" x14ac:dyDescent="0.25">
      <c r="A30" s="50" t="s">
        <v>49</v>
      </c>
      <c r="B30" s="90"/>
      <c r="C30" s="42">
        <v>62160</v>
      </c>
      <c r="D30" s="42" t="s">
        <v>119</v>
      </c>
      <c r="E30" s="51">
        <f>IFERROR(VLOOKUP(TBWP!F30,accounts!A:B,2,FALSE), " ")</f>
        <v>71300</v>
      </c>
      <c r="F30" s="53" t="s">
        <v>25</v>
      </c>
      <c r="G30" s="53">
        <f>200*60</f>
        <v>12000</v>
      </c>
      <c r="H30" s="53">
        <f>200*120</f>
        <v>24000</v>
      </c>
      <c r="I30" s="53">
        <f t="shared" ref="I30:J30" si="13">200*60</f>
        <v>12000</v>
      </c>
      <c r="J30" s="53">
        <f t="shared" si="13"/>
        <v>12000</v>
      </c>
      <c r="K30" s="53">
        <f>200*120</f>
        <v>24000</v>
      </c>
      <c r="L30" s="44">
        <f t="shared" si="5"/>
        <v>84000</v>
      </c>
      <c r="M30" s="42">
        <f>M29+1</f>
        <v>17</v>
      </c>
      <c r="N30" s="10"/>
      <c r="O30" s="10"/>
      <c r="P30" s="10"/>
      <c r="Q30" s="9"/>
      <c r="R30" s="18">
        <v>25</v>
      </c>
    </row>
    <row r="31" spans="1:29" ht="15" customHeight="1" thickBot="1" x14ac:dyDescent="0.25">
      <c r="A31" s="50"/>
      <c r="B31" s="90"/>
      <c r="C31" s="42">
        <v>62160</v>
      </c>
      <c r="D31" s="42" t="s">
        <v>119</v>
      </c>
      <c r="E31" s="45">
        <v>71600</v>
      </c>
      <c r="F31" s="53" t="s">
        <v>35</v>
      </c>
      <c r="G31" s="53">
        <f>(100000/420)*60</f>
        <v>14285.714285714286</v>
      </c>
      <c r="H31" s="53">
        <f>(100000/420)*120</f>
        <v>28571.428571428572</v>
      </c>
      <c r="I31" s="53">
        <f t="shared" ref="I31:J31" si="14">(100000/420)*60</f>
        <v>14285.714285714286</v>
      </c>
      <c r="J31" s="53">
        <f t="shared" si="14"/>
        <v>14285.714285714286</v>
      </c>
      <c r="K31" s="53">
        <f>(100000/420)*120</f>
        <v>28571.428571428572</v>
      </c>
      <c r="L31" s="44">
        <f t="shared" si="5"/>
        <v>100000</v>
      </c>
      <c r="M31" s="42">
        <f t="shared" ref="M31:M36" si="15">M30+1</f>
        <v>18</v>
      </c>
      <c r="N31" s="10"/>
      <c r="O31" s="10"/>
      <c r="P31" s="10"/>
      <c r="Q31" s="9"/>
      <c r="R31" s="18"/>
    </row>
    <row r="32" spans="1:29" ht="15" customHeight="1" thickBot="1" x14ac:dyDescent="0.25">
      <c r="A32" s="54"/>
      <c r="B32" s="90"/>
      <c r="C32" s="42">
        <v>62160</v>
      </c>
      <c r="D32" s="42" t="s">
        <v>119</v>
      </c>
      <c r="E32" s="51">
        <f>IFERROR(VLOOKUP(TBWP!F32,accounts!A:B,2,FALSE), " ")</f>
        <v>72100</v>
      </c>
      <c r="F32" s="53" t="s">
        <v>42</v>
      </c>
      <c r="G32" s="53">
        <f>(600000/420)*60</f>
        <v>85714.285714285725</v>
      </c>
      <c r="H32" s="53">
        <f>(600000/420)*120</f>
        <v>171428.57142857145</v>
      </c>
      <c r="I32" s="53">
        <f>(600000/420)*60</f>
        <v>85714.285714285725</v>
      </c>
      <c r="J32" s="53">
        <f>(600000/420)*60</f>
        <v>85714.285714285725</v>
      </c>
      <c r="K32" s="53">
        <f>(600000/420)*120</f>
        <v>171428.57142857145</v>
      </c>
      <c r="L32" s="44">
        <f t="shared" si="5"/>
        <v>600000.00000000012</v>
      </c>
      <c r="M32" s="42">
        <f t="shared" si="15"/>
        <v>19</v>
      </c>
      <c r="N32" s="10"/>
      <c r="O32" s="10"/>
      <c r="P32" s="10"/>
      <c r="Q32" s="9"/>
      <c r="R32" s="18">
        <v>26</v>
      </c>
    </row>
    <row r="33" spans="1:18" ht="15" customHeight="1" thickBot="1" x14ac:dyDescent="0.25">
      <c r="A33" s="56"/>
      <c r="B33" s="90"/>
      <c r="C33" s="42">
        <v>62160</v>
      </c>
      <c r="D33" s="42" t="s">
        <v>119</v>
      </c>
      <c r="E33" s="45">
        <v>72200</v>
      </c>
      <c r="F33" s="53" t="s">
        <v>43</v>
      </c>
      <c r="G33" s="53">
        <f>(130000/420)*60</f>
        <v>18571.428571428572</v>
      </c>
      <c r="H33" s="53">
        <f>(130000/420)*120</f>
        <v>37142.857142857145</v>
      </c>
      <c r="I33" s="53">
        <f>(130000/420)*60</f>
        <v>18571.428571428572</v>
      </c>
      <c r="J33" s="53">
        <f>(130000/420)*60</f>
        <v>18571.428571428572</v>
      </c>
      <c r="K33" s="53">
        <f>(130000/420)*120</f>
        <v>37142.857142857145</v>
      </c>
      <c r="L33" s="44">
        <f t="shared" si="5"/>
        <v>130000.00000000001</v>
      </c>
      <c r="M33" s="42">
        <f t="shared" si="15"/>
        <v>20</v>
      </c>
      <c r="N33" s="10"/>
      <c r="O33" s="10"/>
      <c r="P33" s="10"/>
      <c r="Q33" s="9"/>
      <c r="R33" s="18">
        <v>28</v>
      </c>
    </row>
    <row r="34" spans="1:18" ht="15" customHeight="1" thickBot="1" x14ac:dyDescent="0.25">
      <c r="A34" s="56"/>
      <c r="B34" s="90"/>
      <c r="C34" s="76">
        <v>62160</v>
      </c>
      <c r="D34" s="76" t="s">
        <v>119</v>
      </c>
      <c r="E34" s="60">
        <f>IFERROR(VLOOKUP(TBWP!F34,accounts!A:B,2,FALSE), " ")</f>
        <v>75700</v>
      </c>
      <c r="F34" s="53" t="s">
        <v>44</v>
      </c>
      <c r="G34" s="53">
        <f>(300000/420)*60</f>
        <v>42857.142857142862</v>
      </c>
      <c r="H34" s="53">
        <f>(300000/420)*120</f>
        <v>85714.285714285725</v>
      </c>
      <c r="I34" s="53">
        <f t="shared" ref="I34:J34" si="16">(300000/420)*60</f>
        <v>42857.142857142862</v>
      </c>
      <c r="J34" s="53">
        <f t="shared" si="16"/>
        <v>42857.142857142862</v>
      </c>
      <c r="K34" s="53">
        <f>(300000/420)*120</f>
        <v>85714.285714285725</v>
      </c>
      <c r="L34" s="44">
        <f t="shared" si="5"/>
        <v>300000.00000000006</v>
      </c>
      <c r="M34" s="42">
        <f t="shared" si="15"/>
        <v>21</v>
      </c>
      <c r="N34" s="10"/>
      <c r="O34" s="10"/>
      <c r="P34" s="10"/>
      <c r="Q34" s="9"/>
      <c r="R34" s="18"/>
    </row>
    <row r="35" spans="1:18" ht="15" customHeight="1" thickBot="1" x14ac:dyDescent="0.25">
      <c r="A35" s="56"/>
      <c r="B35" s="93"/>
      <c r="C35" s="81">
        <v>62160</v>
      </c>
      <c r="D35" s="53" t="s">
        <v>119</v>
      </c>
      <c r="E35" s="51">
        <f>IFERROR(VLOOKUP(TBWP!F35,accounts!A:B,2,FALSE), " ")</f>
        <v>74200</v>
      </c>
      <c r="F35" s="58" t="s">
        <v>59</v>
      </c>
      <c r="G35" s="47">
        <f>(20000/300)*60</f>
        <v>4000.0000000000005</v>
      </c>
      <c r="H35" s="47">
        <f>(20000/300)*80</f>
        <v>5333.3333333333339</v>
      </c>
      <c r="I35" s="47">
        <f t="shared" ref="I35" si="17">(20000/300)*60</f>
        <v>4000.0000000000005</v>
      </c>
      <c r="J35" s="47">
        <f>(20000/300)*40</f>
        <v>2666.666666666667</v>
      </c>
      <c r="K35" s="47">
        <f>(20000/300)*60</f>
        <v>4000.0000000000005</v>
      </c>
      <c r="L35" s="44">
        <f t="shared" si="5"/>
        <v>20000</v>
      </c>
      <c r="M35" s="42">
        <f t="shared" si="15"/>
        <v>22</v>
      </c>
      <c r="N35" s="10"/>
      <c r="O35" s="10"/>
      <c r="P35" s="10"/>
      <c r="Q35" s="9"/>
      <c r="R35" s="18"/>
    </row>
    <row r="36" spans="1:18" ht="15" customHeight="1" thickBot="1" x14ac:dyDescent="0.25">
      <c r="A36" s="56"/>
      <c r="B36" s="93"/>
      <c r="C36" s="42">
        <v>62160</v>
      </c>
      <c r="D36" s="42" t="s">
        <v>119</v>
      </c>
      <c r="E36" s="45">
        <v>74500</v>
      </c>
      <c r="F36" s="53" t="s">
        <v>31</v>
      </c>
      <c r="G36" s="53">
        <v>2000</v>
      </c>
      <c r="H36" s="53">
        <v>2000</v>
      </c>
      <c r="I36" s="53">
        <v>2000</v>
      </c>
      <c r="J36" s="53">
        <v>2000</v>
      </c>
      <c r="K36" s="53">
        <v>2000</v>
      </c>
      <c r="L36" s="44">
        <f t="shared" si="5"/>
        <v>10000</v>
      </c>
      <c r="M36" s="42">
        <f t="shared" si="15"/>
        <v>23</v>
      </c>
      <c r="N36" s="10"/>
      <c r="O36" s="10"/>
      <c r="P36" s="10"/>
      <c r="Q36" s="9"/>
      <c r="R36" s="18">
        <v>29</v>
      </c>
    </row>
    <row r="37" spans="1:18" ht="15" customHeight="1" thickBot="1" x14ac:dyDescent="0.25">
      <c r="A37" s="55"/>
      <c r="B37" s="94"/>
      <c r="C37" s="68"/>
      <c r="D37" s="68"/>
      <c r="E37" s="68"/>
      <c r="F37" s="66" t="s">
        <v>52</v>
      </c>
      <c r="G37" s="72">
        <f>SUM(G29:G36)</f>
        <v>191428.57142857145</v>
      </c>
      <c r="H37" s="72">
        <f t="shared" ref="H37:K37" si="18">SUM(H29:H36)</f>
        <v>378190.47619047621</v>
      </c>
      <c r="I37" s="72">
        <f t="shared" si="18"/>
        <v>197428.57142857145</v>
      </c>
      <c r="J37" s="72">
        <f t="shared" si="18"/>
        <v>196095.23809523811</v>
      </c>
      <c r="K37" s="72">
        <f t="shared" si="18"/>
        <v>385857.1428571429</v>
      </c>
      <c r="L37" s="69">
        <f t="shared" si="5"/>
        <v>1349000.0000000002</v>
      </c>
      <c r="M37" s="69"/>
      <c r="N37" s="11"/>
      <c r="O37" s="11"/>
      <c r="P37" s="11"/>
      <c r="Q37" s="11"/>
      <c r="R37" s="19"/>
    </row>
    <row r="38" spans="1:18" ht="15" customHeight="1" thickTop="1" thickBot="1" x14ac:dyDescent="0.25">
      <c r="A38" s="50" t="s">
        <v>19</v>
      </c>
      <c r="B38" s="92" t="s">
        <v>117</v>
      </c>
      <c r="C38" s="81">
        <v>62160</v>
      </c>
      <c r="D38" s="53" t="s">
        <v>119</v>
      </c>
      <c r="E38" s="81">
        <f>IFERROR(VLOOKUP(TBWP!F38,accounts!A:B,2,FALSE), " ")</f>
        <v>71200</v>
      </c>
      <c r="F38" s="53" t="s">
        <v>21</v>
      </c>
      <c r="G38" s="53">
        <v>0</v>
      </c>
      <c r="H38" s="53">
        <v>0</v>
      </c>
      <c r="I38" s="53">
        <f>10*3000</f>
        <v>30000</v>
      </c>
      <c r="J38" s="53">
        <v>0</v>
      </c>
      <c r="K38" s="53">
        <f>11*3000</f>
        <v>33000</v>
      </c>
      <c r="L38" s="53">
        <f t="shared" si="5"/>
        <v>63000</v>
      </c>
      <c r="M38" s="42">
        <f>M36+1</f>
        <v>24</v>
      </c>
      <c r="N38" s="10"/>
      <c r="O38" s="10"/>
      <c r="P38" s="10"/>
      <c r="Q38" s="9"/>
      <c r="R38" s="18" t="s">
        <v>53</v>
      </c>
    </row>
    <row r="39" spans="1:18" ht="15" customHeight="1" thickBot="1" x14ac:dyDescent="0.25">
      <c r="A39" s="50" t="s">
        <v>54</v>
      </c>
      <c r="B39" s="90"/>
      <c r="C39" s="42">
        <v>62160</v>
      </c>
      <c r="D39" s="42" t="s">
        <v>119</v>
      </c>
      <c r="E39" s="51">
        <f>IFERROR(VLOOKUP(TBWP!F39,accounts!A:B,2,FALSE), " ")</f>
        <v>71300</v>
      </c>
      <c r="F39" s="57" t="s">
        <v>25</v>
      </c>
      <c r="G39" s="53">
        <v>0</v>
      </c>
      <c r="H39" s="53">
        <v>0</v>
      </c>
      <c r="I39" s="53">
        <f>9*900</f>
        <v>8100</v>
      </c>
      <c r="J39" s="53">
        <v>0</v>
      </c>
      <c r="K39" s="53">
        <f>9*900</f>
        <v>8100</v>
      </c>
      <c r="L39" s="53">
        <f t="shared" si="5"/>
        <v>16200</v>
      </c>
      <c r="M39" s="42">
        <f>M38+1</f>
        <v>25</v>
      </c>
      <c r="N39" s="10"/>
      <c r="O39" s="10"/>
      <c r="P39" s="10"/>
      <c r="Q39" s="9"/>
      <c r="R39" s="18" t="s">
        <v>55</v>
      </c>
    </row>
    <row r="40" spans="1:18" ht="15" customHeight="1" thickBot="1" x14ac:dyDescent="0.25">
      <c r="A40" s="54"/>
      <c r="B40" s="90"/>
      <c r="C40" s="42">
        <v>62160</v>
      </c>
      <c r="D40" s="42" t="s">
        <v>119</v>
      </c>
      <c r="E40" s="51">
        <f>IFERROR(VLOOKUP(TBWP!F40,accounts!A:B,2,FALSE), " ")</f>
        <v>72100</v>
      </c>
      <c r="F40" s="57" t="s">
        <v>42</v>
      </c>
      <c r="G40" s="53">
        <v>0</v>
      </c>
      <c r="H40" s="53">
        <v>0</v>
      </c>
      <c r="I40" s="53">
        <v>1000</v>
      </c>
      <c r="J40" s="53">
        <v>0</v>
      </c>
      <c r="K40" s="53">
        <v>2000</v>
      </c>
      <c r="L40" s="53">
        <f t="shared" si="5"/>
        <v>3000</v>
      </c>
      <c r="M40" s="42">
        <f t="shared" ref="M40:M43" si="19">M39+1</f>
        <v>26</v>
      </c>
      <c r="N40" s="10"/>
      <c r="O40" s="10"/>
      <c r="P40" s="10"/>
      <c r="Q40" s="9"/>
      <c r="R40" s="18" t="s">
        <v>56</v>
      </c>
    </row>
    <row r="41" spans="1:18" ht="15" customHeight="1" thickBot="1" x14ac:dyDescent="0.25">
      <c r="A41" s="56"/>
      <c r="B41" s="90"/>
      <c r="C41" s="42">
        <v>62160</v>
      </c>
      <c r="D41" s="42" t="s">
        <v>119</v>
      </c>
      <c r="E41" s="51">
        <f>IFERROR(VLOOKUP(TBWP!F41,accounts!A:B,2,FALSE), " ")</f>
        <v>74100</v>
      </c>
      <c r="F41" s="57" t="s">
        <v>57</v>
      </c>
      <c r="G41" s="53">
        <v>3000</v>
      </c>
      <c r="H41" s="53">
        <v>3000</v>
      </c>
      <c r="I41" s="53">
        <v>3000</v>
      </c>
      <c r="J41" s="53">
        <v>3000</v>
      </c>
      <c r="K41" s="53">
        <v>3000</v>
      </c>
      <c r="L41" s="53">
        <f t="shared" si="5"/>
        <v>15000</v>
      </c>
      <c r="M41" s="42">
        <f t="shared" si="19"/>
        <v>27</v>
      </c>
      <c r="N41" s="10"/>
      <c r="O41" s="10"/>
      <c r="P41" s="10"/>
      <c r="Q41" s="9"/>
      <c r="R41" s="18" t="s">
        <v>58</v>
      </c>
    </row>
    <row r="42" spans="1:18" ht="15" customHeight="1" thickBot="1" x14ac:dyDescent="0.25">
      <c r="A42" s="56"/>
      <c r="B42" s="90"/>
      <c r="C42" s="42">
        <v>62160</v>
      </c>
      <c r="D42" s="42" t="s">
        <v>119</v>
      </c>
      <c r="E42" s="51">
        <f>IFERROR(VLOOKUP(TBWP!F42,accounts!A:B,2,FALSE), " ")</f>
        <v>74200</v>
      </c>
      <c r="F42" s="58" t="s">
        <v>59</v>
      </c>
      <c r="G42" s="53">
        <v>0</v>
      </c>
      <c r="H42" s="53">
        <v>0</v>
      </c>
      <c r="I42" s="53">
        <v>1000</v>
      </c>
      <c r="J42" s="53">
        <v>0</v>
      </c>
      <c r="K42" s="53">
        <v>2000</v>
      </c>
      <c r="L42" s="53">
        <f t="shared" si="5"/>
        <v>3000</v>
      </c>
      <c r="M42" s="42">
        <f t="shared" si="19"/>
        <v>28</v>
      </c>
      <c r="N42" s="10"/>
      <c r="O42" s="10"/>
      <c r="P42" s="10"/>
      <c r="Q42" s="9"/>
      <c r="R42" s="18">
        <v>35</v>
      </c>
    </row>
    <row r="43" spans="1:18" ht="15" customHeight="1" thickBot="1" x14ac:dyDescent="0.25">
      <c r="A43" s="56"/>
      <c r="B43" s="90"/>
      <c r="C43" s="42">
        <v>62160</v>
      </c>
      <c r="D43" s="42" t="s">
        <v>119</v>
      </c>
      <c r="E43" s="51">
        <f>IFERROR(VLOOKUP(TBWP!F43,accounts!A:B,2,FALSE), " ")</f>
        <v>75700</v>
      </c>
      <c r="F43" s="58" t="s">
        <v>44</v>
      </c>
      <c r="G43" s="53">
        <v>0</v>
      </c>
      <c r="H43" s="53">
        <v>0</v>
      </c>
      <c r="I43" s="53">
        <v>2000</v>
      </c>
      <c r="J43" s="53">
        <v>0</v>
      </c>
      <c r="K43" s="53">
        <v>4000</v>
      </c>
      <c r="L43" s="53">
        <f t="shared" si="5"/>
        <v>6000</v>
      </c>
      <c r="M43" s="42">
        <f t="shared" si="19"/>
        <v>29</v>
      </c>
      <c r="N43" s="10"/>
      <c r="O43" s="10"/>
      <c r="P43" s="10"/>
      <c r="Q43" s="9"/>
      <c r="R43" s="18">
        <v>36</v>
      </c>
    </row>
    <row r="44" spans="1:18" ht="15" customHeight="1" thickBot="1" x14ac:dyDescent="0.25">
      <c r="A44" s="55"/>
      <c r="B44" s="91"/>
      <c r="C44" s="68"/>
      <c r="D44" s="68"/>
      <c r="E44" s="68"/>
      <c r="F44" s="71" t="s">
        <v>60</v>
      </c>
      <c r="G44" s="72">
        <f>SUM(G38:G43)</f>
        <v>3000</v>
      </c>
      <c r="H44" s="72">
        <f>SUM(H38:H43)</f>
        <v>3000</v>
      </c>
      <c r="I44" s="72">
        <f>SUM(I38:I43)</f>
        <v>45100</v>
      </c>
      <c r="J44" s="72">
        <f>SUM(J38:J43)</f>
        <v>3000</v>
      </c>
      <c r="K44" s="72">
        <f>SUM(K38:K43)</f>
        <v>52100</v>
      </c>
      <c r="L44" s="72">
        <f t="shared" si="5"/>
        <v>106200</v>
      </c>
      <c r="M44" s="69"/>
      <c r="N44" s="11"/>
      <c r="O44" s="11"/>
      <c r="P44" s="11"/>
      <c r="Q44" s="11"/>
      <c r="R44" s="19" t="s">
        <v>61</v>
      </c>
    </row>
    <row r="45" spans="1:18" ht="15" customHeight="1" thickTop="1" thickBot="1" x14ac:dyDescent="0.25">
      <c r="A45" s="59" t="s">
        <v>62</v>
      </c>
      <c r="B45" s="40"/>
      <c r="C45" s="42">
        <v>62160</v>
      </c>
      <c r="D45" s="42" t="s">
        <v>119</v>
      </c>
      <c r="E45" s="60">
        <v>71600</v>
      </c>
      <c r="F45" s="52" t="s">
        <v>35</v>
      </c>
      <c r="G45" s="53">
        <v>7000</v>
      </c>
      <c r="H45" s="53">
        <v>7000</v>
      </c>
      <c r="I45" s="53">
        <v>7000</v>
      </c>
      <c r="J45" s="53">
        <v>7000</v>
      </c>
      <c r="K45" s="53">
        <v>7000</v>
      </c>
      <c r="L45" s="53">
        <f t="shared" si="5"/>
        <v>35000</v>
      </c>
      <c r="M45" s="42">
        <f>M43+1</f>
        <v>30</v>
      </c>
      <c r="N45" s="10"/>
      <c r="O45" s="10"/>
      <c r="P45" s="10"/>
      <c r="Q45" s="9"/>
      <c r="R45" s="18">
        <v>42</v>
      </c>
    </row>
    <row r="46" spans="1:18" ht="15" customHeight="1" thickBot="1" x14ac:dyDescent="0.25">
      <c r="A46" s="61"/>
      <c r="B46" s="40" t="s">
        <v>118</v>
      </c>
      <c r="C46" s="42">
        <v>62160</v>
      </c>
      <c r="D46" s="42" t="s">
        <v>119</v>
      </c>
      <c r="E46" s="60">
        <v>74599</v>
      </c>
      <c r="F46" s="52" t="s">
        <v>123</v>
      </c>
      <c r="G46" s="53">
        <v>34000</v>
      </c>
      <c r="H46" s="53">
        <v>34000</v>
      </c>
      <c r="I46" s="53">
        <v>34000</v>
      </c>
      <c r="J46" s="53">
        <v>34000</v>
      </c>
      <c r="K46" s="53">
        <v>34000</v>
      </c>
      <c r="L46" s="53">
        <f t="shared" si="5"/>
        <v>170000</v>
      </c>
      <c r="M46" s="42">
        <f>M45+1</f>
        <v>31</v>
      </c>
      <c r="N46" s="10"/>
      <c r="O46" s="10"/>
      <c r="P46" s="10"/>
      <c r="Q46" s="9"/>
      <c r="R46" s="18">
        <v>43</v>
      </c>
    </row>
    <row r="47" spans="1:18" ht="23.45" customHeight="1" thickBot="1" x14ac:dyDescent="0.25">
      <c r="A47" s="62" t="s">
        <v>63</v>
      </c>
      <c r="B47" s="63"/>
      <c r="C47" s="42">
        <v>62160</v>
      </c>
      <c r="D47" s="42" t="s">
        <v>119</v>
      </c>
      <c r="E47" s="60">
        <v>74500</v>
      </c>
      <c r="F47" s="52" t="s">
        <v>31</v>
      </c>
      <c r="G47" s="53">
        <v>3000</v>
      </c>
      <c r="H47" s="53">
        <v>3000</v>
      </c>
      <c r="I47" s="53">
        <v>3000</v>
      </c>
      <c r="J47" s="53">
        <v>3000</v>
      </c>
      <c r="K47" s="53">
        <v>3000</v>
      </c>
      <c r="L47" s="53">
        <f t="shared" si="5"/>
        <v>15000</v>
      </c>
      <c r="M47" s="42">
        <f t="shared" ref="M47" si="20">M46+1</f>
        <v>32</v>
      </c>
      <c r="N47" s="10"/>
      <c r="O47" s="10"/>
      <c r="P47" s="10"/>
      <c r="Q47" s="9"/>
      <c r="R47" s="18">
        <v>44</v>
      </c>
    </row>
    <row r="48" spans="1:18" ht="15" customHeight="1" thickBot="1" x14ac:dyDescent="0.25">
      <c r="A48" s="62"/>
      <c r="B48" s="63"/>
      <c r="C48" s="68"/>
      <c r="D48" s="68"/>
      <c r="E48" s="68"/>
      <c r="F48" s="70" t="s">
        <v>67</v>
      </c>
      <c r="G48" s="73">
        <f>SUM(G45:G47)</f>
        <v>44000</v>
      </c>
      <c r="H48" s="68">
        <f>SUM(H45:H47)</f>
        <v>44000</v>
      </c>
      <c r="I48" s="68">
        <f>SUM(I45:I47)</f>
        <v>44000</v>
      </c>
      <c r="J48" s="68">
        <f>SUM(J45:J47)</f>
        <v>44000</v>
      </c>
      <c r="K48" s="68">
        <f>SUM(K45:K47)</f>
        <v>44000</v>
      </c>
      <c r="L48" s="67">
        <f t="shared" si="5"/>
        <v>220000</v>
      </c>
      <c r="M48" s="69"/>
      <c r="N48" s="11"/>
      <c r="O48" s="11"/>
      <c r="P48" s="11"/>
      <c r="Q48" s="11"/>
      <c r="R48" s="19"/>
    </row>
    <row r="49" spans="1:18" ht="15" customHeight="1" thickTop="1" thickBot="1" x14ac:dyDescent="0.25">
      <c r="A49" s="64"/>
      <c r="B49" s="65"/>
      <c r="C49" s="89"/>
      <c r="D49" s="89"/>
      <c r="E49" s="89" t="s">
        <v>68</v>
      </c>
      <c r="F49" s="89"/>
      <c r="G49" s="74">
        <f t="shared" ref="G49:L49" si="21">G48+G44+G37+G28+G19</f>
        <v>525469.31216931227</v>
      </c>
      <c r="H49" s="74">
        <f t="shared" si="21"/>
        <v>1096312.6984126985</v>
      </c>
      <c r="I49" s="74">
        <f t="shared" si="21"/>
        <v>964921.16402116406</v>
      </c>
      <c r="J49" s="74">
        <f t="shared" si="21"/>
        <v>810884.1269841271</v>
      </c>
      <c r="K49" s="74">
        <f t="shared" si="21"/>
        <v>1052412.6984126985</v>
      </c>
      <c r="L49" s="74">
        <f t="shared" si="21"/>
        <v>4450000</v>
      </c>
      <c r="M49" s="74"/>
      <c r="N49" s="12"/>
      <c r="O49" s="12"/>
      <c r="P49" s="12"/>
      <c r="Q49" s="12"/>
      <c r="R49" s="18"/>
    </row>
    <row r="50" spans="1:18" ht="12.75" thickBot="1" x14ac:dyDescent="0.25">
      <c r="G50" s="78"/>
      <c r="H50" s="78"/>
      <c r="I50" s="78"/>
      <c r="J50" s="78"/>
      <c r="K50" s="78"/>
      <c r="L50" s="78">
        <f t="shared" ref="L50" si="22">L48+L44+L37+L28+L19</f>
        <v>4450000</v>
      </c>
    </row>
    <row r="51" spans="1:18" ht="12.75" thickBot="1" x14ac:dyDescent="0.25">
      <c r="E51" s="83"/>
      <c r="L51" s="78">
        <f>4450000-L49</f>
        <v>0</v>
      </c>
    </row>
    <row r="52" spans="1:18" x14ac:dyDescent="0.2">
      <c r="A52" s="7" t="s">
        <v>69</v>
      </c>
    </row>
    <row r="53" spans="1:18" x14ac:dyDescent="0.2">
      <c r="A53" s="7" t="s">
        <v>70</v>
      </c>
    </row>
    <row r="54" spans="1:18" x14ac:dyDescent="0.2">
      <c r="A54" s="7" t="s">
        <v>71</v>
      </c>
    </row>
    <row r="56" spans="1:18" x14ac:dyDescent="0.2">
      <c r="A56" s="7" t="s">
        <v>72</v>
      </c>
    </row>
    <row r="57" spans="1:18" x14ac:dyDescent="0.2">
      <c r="A57" s="7" t="s">
        <v>73</v>
      </c>
    </row>
    <row r="58" spans="1:18" x14ac:dyDescent="0.2">
      <c r="A58" s="7" t="s">
        <v>74</v>
      </c>
    </row>
    <row r="59" spans="1:18" x14ac:dyDescent="0.2">
      <c r="A59" s="7" t="s">
        <v>75</v>
      </c>
    </row>
    <row r="60" spans="1:18" x14ac:dyDescent="0.2">
      <c r="A60" s="7" t="s">
        <v>76</v>
      </c>
    </row>
    <row r="61" spans="1:18" x14ac:dyDescent="0.2">
      <c r="A61" s="7" t="s">
        <v>77</v>
      </c>
    </row>
    <row r="62" spans="1:18" x14ac:dyDescent="0.2">
      <c r="A62" s="7" t="s">
        <v>78</v>
      </c>
    </row>
    <row r="63" spans="1:18" x14ac:dyDescent="0.2">
      <c r="A63" s="7" t="s">
        <v>79</v>
      </c>
    </row>
  </sheetData>
  <mergeCells count="29">
    <mergeCell ref="A2:D2"/>
    <mergeCell ref="M10:M11"/>
    <mergeCell ref="N10:N11"/>
    <mergeCell ref="O10:O11"/>
    <mergeCell ref="B4:D4"/>
    <mergeCell ref="B5:D5"/>
    <mergeCell ref="B6:D6"/>
    <mergeCell ref="B7:D7"/>
    <mergeCell ref="B8:D8"/>
    <mergeCell ref="A10:A11"/>
    <mergeCell ref="C10:C11"/>
    <mergeCell ref="D10:D11"/>
    <mergeCell ref="E10:E11"/>
    <mergeCell ref="F10:F11"/>
    <mergeCell ref="K10:K11"/>
    <mergeCell ref="Q10:Q11"/>
    <mergeCell ref="R10:R11"/>
    <mergeCell ref="G10:G11"/>
    <mergeCell ref="P10:P11"/>
    <mergeCell ref="H10:H11"/>
    <mergeCell ref="J10:J11"/>
    <mergeCell ref="B12:B19"/>
    <mergeCell ref="I10:I11"/>
    <mergeCell ref="L10:L11"/>
    <mergeCell ref="E49:F49"/>
    <mergeCell ref="B20:B28"/>
    <mergeCell ref="B29:B37"/>
    <mergeCell ref="B38:B44"/>
    <mergeCell ref="C49:D49"/>
  </mergeCells>
  <hyperlinks>
    <hyperlink ref="A3" location="_ftn1" display="_ftn1"/>
    <hyperlink ref="B10" location="_ftn1" display="_ftn1"/>
    <hyperlink ref="A45" location="_ftn3" display="_ftn3"/>
    <hyperlink ref="A54" location="_ftnref3" display="_ftnref3"/>
    <hyperlink ref="A53" location="_ftnref2" display="_ftnref2"/>
    <hyperlink ref="A52" location="_ftnref1" display="_ftnref1"/>
  </hyperlinks>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election activeCell="N7" sqref="N7"/>
    </sheetView>
  </sheetViews>
  <sheetFormatPr baseColWidth="10" defaultColWidth="9.140625" defaultRowHeight="15" x14ac:dyDescent="0.25"/>
  <cols>
    <col min="5" max="5" width="15.140625" customWidth="1"/>
    <col min="14" max="14" width="8.85546875" customWidth="1"/>
  </cols>
  <sheetData>
    <row r="1" spans="1:14" ht="36.75" thickBot="1" x14ac:dyDescent="0.3">
      <c r="A1" s="8" t="s">
        <v>80</v>
      </c>
      <c r="B1" s="125"/>
      <c r="C1" s="125"/>
      <c r="D1" s="29"/>
      <c r="E1" s="29"/>
      <c r="F1" s="116"/>
      <c r="G1" s="116"/>
      <c r="H1" s="24"/>
      <c r="I1" s="24"/>
      <c r="J1" s="116"/>
      <c r="K1" s="116"/>
      <c r="L1" s="116"/>
      <c r="M1" s="116"/>
      <c r="N1" s="116"/>
    </row>
    <row r="2" spans="1:14" x14ac:dyDescent="0.25">
      <c r="A2" s="117"/>
      <c r="B2" s="118"/>
      <c r="C2" s="119"/>
      <c r="D2" s="120"/>
      <c r="E2" s="121"/>
      <c r="F2" s="27" t="s">
        <v>81</v>
      </c>
      <c r="G2" s="27" t="s">
        <v>81</v>
      </c>
      <c r="H2" s="27" t="s">
        <v>81</v>
      </c>
      <c r="I2" s="27" t="s">
        <v>81</v>
      </c>
      <c r="J2" s="27" t="s">
        <v>81</v>
      </c>
      <c r="K2" s="27" t="s">
        <v>81</v>
      </c>
      <c r="L2" s="27" t="s">
        <v>81</v>
      </c>
      <c r="M2" s="27" t="s">
        <v>81</v>
      </c>
      <c r="N2" s="129" t="s">
        <v>82</v>
      </c>
    </row>
    <row r="3" spans="1:14" ht="15.75" thickBot="1" x14ac:dyDescent="0.3">
      <c r="A3" s="117"/>
      <c r="B3" s="118"/>
      <c r="C3" s="122"/>
      <c r="D3" s="123"/>
      <c r="E3" s="124"/>
      <c r="F3" s="28" t="s">
        <v>83</v>
      </c>
      <c r="G3" s="28" t="s">
        <v>84</v>
      </c>
      <c r="H3" s="28" t="s">
        <v>85</v>
      </c>
      <c r="I3" s="28" t="s">
        <v>86</v>
      </c>
      <c r="J3" s="28" t="s">
        <v>87</v>
      </c>
      <c r="K3" s="28" t="s">
        <v>88</v>
      </c>
      <c r="L3" s="28" t="s">
        <v>89</v>
      </c>
      <c r="M3" s="28" t="s">
        <v>90</v>
      </c>
      <c r="N3" s="130"/>
    </row>
    <row r="4" spans="1:14" ht="15.75" thickBot="1" x14ac:dyDescent="0.3">
      <c r="A4" s="25"/>
      <c r="B4" s="26"/>
      <c r="C4" s="126" t="s">
        <v>91</v>
      </c>
      <c r="D4" s="127"/>
      <c r="E4" s="128"/>
      <c r="F4" s="15" t="e">
        <f>TBWP!#REF!</f>
        <v>#REF!</v>
      </c>
      <c r="G4" s="15" t="e">
        <f>TBWP!#REF!</f>
        <v>#REF!</v>
      </c>
      <c r="H4" s="15" t="e">
        <f>TBWP!#REF!</f>
        <v>#REF!</v>
      </c>
      <c r="I4" s="15" t="e">
        <f>TBWP!#REF!</f>
        <v>#REF!</v>
      </c>
      <c r="J4" s="15" t="e">
        <f>TBWP!#REF!</f>
        <v>#REF!</v>
      </c>
      <c r="K4" s="15" t="e">
        <f>TBWP!#REF!</f>
        <v>#REF!</v>
      </c>
      <c r="L4" s="15" t="e">
        <f>TBWP!#REF!</f>
        <v>#REF!</v>
      </c>
      <c r="M4" s="15" t="e">
        <f>TBWP!#REF!</f>
        <v>#REF!</v>
      </c>
      <c r="N4" s="17" t="e">
        <f>SUM(F4:M4)</f>
        <v>#REF!</v>
      </c>
    </row>
    <row r="5" spans="1:14" ht="15.75" thickBot="1" x14ac:dyDescent="0.3">
      <c r="A5" s="25"/>
      <c r="B5" s="26"/>
      <c r="C5" s="126" t="s">
        <v>92</v>
      </c>
      <c r="D5" s="127"/>
      <c r="E5" s="128"/>
      <c r="F5" s="15" t="e">
        <f>TBWP!#REF!</f>
        <v>#REF!</v>
      </c>
      <c r="G5" s="15" t="e">
        <f>TBWP!#REF!</f>
        <v>#REF!</v>
      </c>
      <c r="H5" s="15" t="e">
        <f>TBWP!#REF!</f>
        <v>#REF!</v>
      </c>
      <c r="I5" s="15" t="e">
        <f>TBWP!#REF!</f>
        <v>#REF!</v>
      </c>
      <c r="J5" s="15" t="e">
        <f>TBWP!#REF!</f>
        <v>#REF!</v>
      </c>
      <c r="K5" s="15" t="e">
        <f>TBWP!#REF!</f>
        <v>#REF!</v>
      </c>
      <c r="L5" s="15" t="e">
        <f>TBWP!#REF!</f>
        <v>#REF!</v>
      </c>
      <c r="M5" s="15" t="e">
        <f>TBWP!#REF!</f>
        <v>#REF!</v>
      </c>
      <c r="N5" s="17" t="e">
        <f t="shared" ref="N5:N6" si="0">SUM(F5:M5)</f>
        <v>#REF!</v>
      </c>
    </row>
    <row r="6" spans="1:14" ht="15.75" thickBot="1" x14ac:dyDescent="0.3">
      <c r="A6" s="25"/>
      <c r="B6" s="26"/>
      <c r="C6" s="126" t="s">
        <v>93</v>
      </c>
      <c r="D6" s="127"/>
      <c r="E6" s="128"/>
      <c r="F6" s="14"/>
      <c r="G6" s="14"/>
      <c r="H6" s="14"/>
      <c r="I6" s="14"/>
      <c r="J6" s="14"/>
      <c r="K6" s="14"/>
      <c r="L6" s="14"/>
      <c r="M6" s="14"/>
      <c r="N6" s="17">
        <f t="shared" si="0"/>
        <v>0</v>
      </c>
    </row>
    <row r="7" spans="1:14" ht="15.75" thickBot="1" x14ac:dyDescent="0.3">
      <c r="A7" s="25"/>
      <c r="B7" s="26"/>
      <c r="C7" s="126" t="s">
        <v>94</v>
      </c>
      <c r="D7" s="127"/>
      <c r="E7" s="128"/>
      <c r="F7" s="16" t="e">
        <f>SUM(F4:F6)</f>
        <v>#REF!</v>
      </c>
      <c r="G7" s="16" t="e">
        <f t="shared" ref="G7:N7" si="1">SUM(G4:G6)</f>
        <v>#REF!</v>
      </c>
      <c r="H7" s="16" t="e">
        <f t="shared" si="1"/>
        <v>#REF!</v>
      </c>
      <c r="I7" s="16" t="e">
        <f t="shared" si="1"/>
        <v>#REF!</v>
      </c>
      <c r="J7" s="16" t="e">
        <f t="shared" si="1"/>
        <v>#REF!</v>
      </c>
      <c r="K7" s="16" t="e">
        <f t="shared" si="1"/>
        <v>#REF!</v>
      </c>
      <c r="L7" s="16" t="e">
        <f t="shared" si="1"/>
        <v>#REF!</v>
      </c>
      <c r="M7" s="16" t="e">
        <f t="shared" si="1"/>
        <v>#REF!</v>
      </c>
      <c r="N7" s="17" t="e">
        <f t="shared" si="1"/>
        <v>#REF!</v>
      </c>
    </row>
    <row r="8" spans="1:14" x14ac:dyDescent="0.25">
      <c r="A8" s="7"/>
      <c r="B8" s="7"/>
      <c r="C8" s="7"/>
      <c r="D8" s="7"/>
      <c r="E8" s="7"/>
      <c r="F8" s="7"/>
      <c r="G8" s="7"/>
      <c r="H8" s="7"/>
      <c r="I8" s="7"/>
      <c r="J8" s="7"/>
      <c r="K8" s="7"/>
      <c r="L8" s="7"/>
      <c r="M8" s="7"/>
      <c r="N8" s="7"/>
    </row>
    <row r="9" spans="1:14" x14ac:dyDescent="0.25">
      <c r="A9" s="7"/>
      <c r="B9" s="7"/>
      <c r="C9" s="7"/>
      <c r="D9" s="7"/>
      <c r="E9" s="7"/>
      <c r="F9" s="7"/>
      <c r="G9" s="7"/>
      <c r="H9" s="7"/>
      <c r="I9" s="7"/>
      <c r="J9" s="7"/>
      <c r="K9" s="7"/>
      <c r="L9" s="7"/>
      <c r="M9" s="7"/>
      <c r="N9" s="7"/>
    </row>
    <row r="10" spans="1:14" ht="168" x14ac:dyDescent="0.25">
      <c r="A10" s="8" t="s">
        <v>95</v>
      </c>
      <c r="B10" s="7"/>
      <c r="C10" s="7"/>
      <c r="D10" s="7"/>
      <c r="E10" s="7"/>
      <c r="F10" s="7"/>
      <c r="G10" s="7"/>
      <c r="H10" s="7"/>
      <c r="I10" s="7"/>
      <c r="J10" s="7"/>
      <c r="K10" s="7"/>
      <c r="L10" s="7"/>
      <c r="M10" s="7"/>
      <c r="N10" s="7"/>
    </row>
    <row r="11" spans="1:14" x14ac:dyDescent="0.25">
      <c r="A11" s="13"/>
      <c r="B11" s="7"/>
      <c r="C11" s="7"/>
      <c r="D11" s="7"/>
      <c r="E11" s="7"/>
      <c r="F11" s="7"/>
      <c r="G11" s="7"/>
      <c r="H11" s="7"/>
      <c r="I11" s="7"/>
      <c r="J11" s="7"/>
      <c r="K11" s="7"/>
      <c r="L11" s="7"/>
      <c r="M11" s="7"/>
      <c r="N11" s="7"/>
    </row>
  </sheetData>
  <mergeCells count="11">
    <mergeCell ref="C7:E7"/>
    <mergeCell ref="C6:E6"/>
    <mergeCell ref="C5:E5"/>
    <mergeCell ref="N2:N3"/>
    <mergeCell ref="C4:E4"/>
    <mergeCell ref="J1:N1"/>
    <mergeCell ref="A2:A3"/>
    <mergeCell ref="B2:B3"/>
    <mergeCell ref="C2:E3"/>
    <mergeCell ref="B1:C1"/>
    <mergeCell ref="F1:G1"/>
  </mergeCells>
  <hyperlinks>
    <hyperlink ref="A1" location="_ftn1" display="_ftn1"/>
    <hyperlink ref="A10" location="_ftnref1" display="_ftnref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4" workbookViewId="0">
      <selection activeCell="E12" sqref="E12"/>
    </sheetView>
  </sheetViews>
  <sheetFormatPr baseColWidth="10" defaultColWidth="9.140625" defaultRowHeight="15" x14ac:dyDescent="0.25"/>
  <cols>
    <col min="1" max="1" width="28.140625" bestFit="1" customWidth="1"/>
    <col min="2" max="2" width="16.42578125" bestFit="1" customWidth="1"/>
    <col min="5" max="5" width="28.140625" bestFit="1" customWidth="1"/>
    <col min="6" max="6" width="11.7109375" bestFit="1" customWidth="1"/>
    <col min="9" max="9" width="28.140625" bestFit="1" customWidth="1"/>
  </cols>
  <sheetData>
    <row r="1" spans="1:10" x14ac:dyDescent="0.25">
      <c r="A1" t="s">
        <v>96</v>
      </c>
      <c r="E1" t="s">
        <v>97</v>
      </c>
      <c r="I1" t="s">
        <v>98</v>
      </c>
    </row>
    <row r="2" spans="1:10" x14ac:dyDescent="0.25">
      <c r="A2" s="4" t="s">
        <v>99</v>
      </c>
      <c r="B2" s="4" t="s">
        <v>100</v>
      </c>
      <c r="E2" s="4" t="s">
        <v>99</v>
      </c>
      <c r="F2" s="4" t="s">
        <v>100</v>
      </c>
      <c r="I2" s="4" t="s">
        <v>99</v>
      </c>
      <c r="J2" s="4" t="s">
        <v>100</v>
      </c>
    </row>
    <row r="3" spans="1:10" x14ac:dyDescent="0.25">
      <c r="A3" s="4"/>
      <c r="B3" s="4"/>
      <c r="E3" s="4"/>
    </row>
    <row r="4" spans="1:10" x14ac:dyDescent="0.25">
      <c r="A4" s="4" t="s">
        <v>59</v>
      </c>
      <c r="B4" s="4">
        <v>74200</v>
      </c>
      <c r="E4" s="4" t="s">
        <v>59</v>
      </c>
      <c r="F4" s="4">
        <v>74200</v>
      </c>
      <c r="I4" s="4" t="s">
        <v>59</v>
      </c>
      <c r="J4" s="4">
        <v>74200</v>
      </c>
    </row>
    <row r="5" spans="1:10" x14ac:dyDescent="0.25">
      <c r="A5" s="4" t="s">
        <v>101</v>
      </c>
      <c r="B5" s="4">
        <v>72400</v>
      </c>
      <c r="E5" s="4" t="s">
        <v>101</v>
      </c>
      <c r="F5" s="4">
        <v>72400</v>
      </c>
      <c r="I5" s="4" t="s">
        <v>101</v>
      </c>
      <c r="J5" s="4">
        <v>72400</v>
      </c>
    </row>
    <row r="6" spans="1:10" x14ac:dyDescent="0.25">
      <c r="A6" s="4" t="s">
        <v>45</v>
      </c>
      <c r="B6" s="4">
        <v>71400</v>
      </c>
      <c r="E6" s="4" t="s">
        <v>45</v>
      </c>
      <c r="F6" s="4">
        <v>71400</v>
      </c>
      <c r="I6" s="4" t="s">
        <v>45</v>
      </c>
      <c r="J6" s="4">
        <v>71400</v>
      </c>
    </row>
    <row r="7" spans="1:10" x14ac:dyDescent="0.25">
      <c r="A7" s="4" t="s">
        <v>42</v>
      </c>
      <c r="B7" s="4">
        <v>72100</v>
      </c>
      <c r="E7" s="4" t="s">
        <v>42</v>
      </c>
      <c r="F7" s="4">
        <v>72100</v>
      </c>
      <c r="I7" s="5" t="s">
        <v>42</v>
      </c>
      <c r="J7" s="5" t="s">
        <v>102</v>
      </c>
    </row>
    <row r="8" spans="1:10" x14ac:dyDescent="0.25">
      <c r="A8" s="4" t="s">
        <v>43</v>
      </c>
      <c r="B8" s="4">
        <v>72200</v>
      </c>
      <c r="E8" s="4" t="s">
        <v>43</v>
      </c>
      <c r="F8" s="4">
        <v>72200</v>
      </c>
      <c r="I8" s="4" t="s">
        <v>43</v>
      </c>
      <c r="J8" s="4">
        <v>72200</v>
      </c>
    </row>
    <row r="9" spans="1:10" x14ac:dyDescent="0.25">
      <c r="A9" s="4" t="s">
        <v>103</v>
      </c>
      <c r="B9" s="4">
        <v>72600</v>
      </c>
      <c r="E9" s="4" t="s">
        <v>51</v>
      </c>
      <c r="F9" s="4">
        <v>72800</v>
      </c>
      <c r="I9" s="4" t="s">
        <v>104</v>
      </c>
      <c r="J9" s="4">
        <v>75100</v>
      </c>
    </row>
    <row r="10" spans="1:10" x14ac:dyDescent="0.25">
      <c r="A10" s="4" t="s">
        <v>51</v>
      </c>
      <c r="B10" s="4">
        <v>72800</v>
      </c>
      <c r="E10" s="4" t="s">
        <v>21</v>
      </c>
      <c r="F10" s="4">
        <v>71200</v>
      </c>
      <c r="I10" s="4" t="s">
        <v>103</v>
      </c>
      <c r="J10" s="4">
        <v>72600</v>
      </c>
    </row>
    <row r="11" spans="1:10" x14ac:dyDescent="0.25">
      <c r="A11" s="4" t="s">
        <v>21</v>
      </c>
      <c r="B11" s="4">
        <v>71200</v>
      </c>
      <c r="E11" s="4" t="s">
        <v>25</v>
      </c>
      <c r="F11" s="4">
        <v>71300</v>
      </c>
      <c r="I11" s="4" t="s">
        <v>105</v>
      </c>
      <c r="J11" s="4">
        <v>72700</v>
      </c>
    </row>
    <row r="12" spans="1:10" x14ac:dyDescent="0.25">
      <c r="A12" s="4" t="s">
        <v>25</v>
      </c>
      <c r="B12" s="4">
        <v>71300</v>
      </c>
      <c r="E12" s="4" t="s">
        <v>50</v>
      </c>
      <c r="F12" s="4">
        <v>72300</v>
      </c>
      <c r="I12" s="4" t="s">
        <v>51</v>
      </c>
      <c r="J12" s="4">
        <v>72800</v>
      </c>
    </row>
    <row r="13" spans="1:10" x14ac:dyDescent="0.25">
      <c r="A13" s="4" t="s">
        <v>50</v>
      </c>
      <c r="B13" s="4">
        <v>72300</v>
      </c>
      <c r="E13" s="4" t="s">
        <v>47</v>
      </c>
      <c r="F13" s="4">
        <v>74500</v>
      </c>
      <c r="I13" s="4" t="s">
        <v>21</v>
      </c>
      <c r="J13" s="4">
        <v>71200</v>
      </c>
    </row>
    <row r="14" spans="1:10" x14ac:dyDescent="0.25">
      <c r="A14" s="4" t="s">
        <v>47</v>
      </c>
      <c r="B14" s="4">
        <v>74500</v>
      </c>
      <c r="E14" s="4" t="s">
        <v>57</v>
      </c>
      <c r="F14" s="4">
        <v>74100</v>
      </c>
      <c r="I14" s="4" t="s">
        <v>25</v>
      </c>
      <c r="J14" s="4">
        <v>71300</v>
      </c>
    </row>
    <row r="15" spans="1:10" x14ac:dyDescent="0.25">
      <c r="A15" s="4" t="s">
        <v>57</v>
      </c>
      <c r="B15" s="4">
        <v>74100</v>
      </c>
      <c r="E15" s="4" t="s">
        <v>106</v>
      </c>
      <c r="F15" s="4">
        <v>73300</v>
      </c>
      <c r="I15" s="4" t="s">
        <v>50</v>
      </c>
      <c r="J15" s="4">
        <v>72300</v>
      </c>
    </row>
    <row r="16" spans="1:10" x14ac:dyDescent="0.25">
      <c r="A16" s="4" t="s">
        <v>106</v>
      </c>
      <c r="B16" s="4">
        <v>73300</v>
      </c>
      <c r="E16" s="4" t="s">
        <v>107</v>
      </c>
      <c r="F16" s="4">
        <v>73400</v>
      </c>
      <c r="I16" s="4" t="s">
        <v>47</v>
      </c>
      <c r="J16" s="4">
        <v>74500</v>
      </c>
    </row>
    <row r="17" spans="1:10" x14ac:dyDescent="0.25">
      <c r="A17" s="4" t="s">
        <v>107</v>
      </c>
      <c r="B17" s="4">
        <v>73400</v>
      </c>
      <c r="E17" s="4" t="s">
        <v>46</v>
      </c>
      <c r="F17" s="4">
        <v>73100</v>
      </c>
      <c r="I17" s="4" t="s">
        <v>57</v>
      </c>
      <c r="J17" s="4">
        <v>74100</v>
      </c>
    </row>
    <row r="18" spans="1:10" x14ac:dyDescent="0.25">
      <c r="A18" s="4" t="s">
        <v>46</v>
      </c>
      <c r="B18" s="4">
        <v>73100</v>
      </c>
      <c r="E18" s="4" t="s">
        <v>65</v>
      </c>
      <c r="F18" s="4">
        <v>64397</v>
      </c>
      <c r="I18" s="4" t="s">
        <v>106</v>
      </c>
      <c r="J18" s="4">
        <v>73300</v>
      </c>
    </row>
    <row r="19" spans="1:10" x14ac:dyDescent="0.25">
      <c r="A19" s="4" t="s">
        <v>64</v>
      </c>
      <c r="B19" s="4">
        <v>72500</v>
      </c>
      <c r="E19" s="4" t="s">
        <v>66</v>
      </c>
      <c r="F19" s="4">
        <v>74596</v>
      </c>
      <c r="I19" s="4" t="s">
        <v>107</v>
      </c>
      <c r="J19" s="4">
        <v>73400</v>
      </c>
    </row>
    <row r="20" spans="1:10" x14ac:dyDescent="0.25">
      <c r="A20" s="4" t="s">
        <v>44</v>
      </c>
      <c r="B20" s="4">
        <v>75700</v>
      </c>
      <c r="E20" s="4" t="s">
        <v>64</v>
      </c>
      <c r="F20" s="4">
        <v>72500</v>
      </c>
      <c r="I20" s="4" t="s">
        <v>46</v>
      </c>
      <c r="J20" s="4">
        <v>73100</v>
      </c>
    </row>
    <row r="21" spans="1:10" x14ac:dyDescent="0.25">
      <c r="A21" s="4" t="s">
        <v>108</v>
      </c>
      <c r="B21" s="4">
        <v>74700</v>
      </c>
      <c r="E21" s="5" t="s">
        <v>44</v>
      </c>
      <c r="F21" s="5" t="s">
        <v>109</v>
      </c>
      <c r="I21" s="4" t="s">
        <v>110</v>
      </c>
      <c r="J21" s="4">
        <v>61200</v>
      </c>
    </row>
    <row r="22" spans="1:10" x14ac:dyDescent="0.25">
      <c r="A22" s="4" t="s">
        <v>35</v>
      </c>
      <c r="B22" s="4">
        <v>71600</v>
      </c>
      <c r="E22" s="4" t="s">
        <v>108</v>
      </c>
      <c r="F22" s="4">
        <v>74700</v>
      </c>
      <c r="I22" s="4" t="s">
        <v>111</v>
      </c>
      <c r="J22" s="4">
        <v>61300</v>
      </c>
    </row>
    <row r="23" spans="1:10" x14ac:dyDescent="0.25">
      <c r="A23" s="4" t="s">
        <v>112</v>
      </c>
      <c r="B23" s="4">
        <v>71500</v>
      </c>
      <c r="E23" s="4" t="s">
        <v>35</v>
      </c>
      <c r="F23" s="4">
        <v>71600</v>
      </c>
      <c r="I23" s="4" t="s">
        <v>113</v>
      </c>
      <c r="J23" s="4">
        <v>61100</v>
      </c>
    </row>
    <row r="24" spans="1:10" x14ac:dyDescent="0.25">
      <c r="E24" t="s">
        <v>112</v>
      </c>
      <c r="F24">
        <v>71500</v>
      </c>
      <c r="I24" s="4" t="s">
        <v>65</v>
      </c>
      <c r="J24" s="4">
        <v>64397</v>
      </c>
    </row>
    <row r="25" spans="1:10" x14ac:dyDescent="0.25">
      <c r="I25" s="4" t="s">
        <v>66</v>
      </c>
      <c r="J25" s="4">
        <v>74596</v>
      </c>
    </row>
    <row r="26" spans="1:10" x14ac:dyDescent="0.25">
      <c r="I26" s="4" t="s">
        <v>64</v>
      </c>
      <c r="J26" s="4">
        <v>72500</v>
      </c>
    </row>
    <row r="27" spans="1:10" x14ac:dyDescent="0.25">
      <c r="I27" s="5" t="s">
        <v>44</v>
      </c>
      <c r="J27" s="5" t="s">
        <v>109</v>
      </c>
    </row>
    <row r="28" spans="1:10" x14ac:dyDescent="0.25">
      <c r="I28" s="4" t="s">
        <v>108</v>
      </c>
      <c r="J28" s="4">
        <v>74700</v>
      </c>
    </row>
    <row r="29" spans="1:10" x14ac:dyDescent="0.25">
      <c r="I29" s="4" t="s">
        <v>35</v>
      </c>
      <c r="J29" s="4">
        <v>71600</v>
      </c>
    </row>
    <row r="30" spans="1:10" x14ac:dyDescent="0.25">
      <c r="I30" s="4" t="s">
        <v>112</v>
      </c>
      <c r="J30" s="4">
        <v>71500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1161f5b-24a3-4c2d-bc81-44cb9325e8ee">ATLASPDC-4-65067</_dlc_DocId>
    <_dlc_DocIdUrl xmlns="f1161f5b-24a3-4c2d-bc81-44cb9325e8ee">
      <Url>https://info.undp.org/docs/pdc/_layouts/DocIdRedir.aspx?ID=ATLASPDC-4-65067</Url>
      <Description>ATLASPDC-4-65067</Description>
    </_dlc_DocIdUrl>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2017-06-14T14:00:00+00:00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Countries</TermName>
          <TermId xmlns="http://schemas.microsoft.com/office/infopath/2007/PartnerControls">2f9ec5a1-3eec-45d6-8645-ed5d87180aba</TermId>
        </TermInfo>
      </Terms>
    </UNDPCountryTaxHTField0>
    <UndpOUCode xmlns="1ed4137b-41b2-488b-8250-6d369ec27664">BEN</UndpOUCode>
    <PDC_x0020_Document_x0020_Category xmlns="f1161f5b-24a3-4c2d-bc81-44cb9325e8ee">Proposal</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Environment and Energy</TermName>
          <TermId xmlns="http://schemas.microsoft.com/office/infopath/2007/PartnerControls">507850c5-118d-4c78-99b1-c760df552b10</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1c1fa43a-cb36-4844-8715-9a4cc93e1ac9</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763</Value>
      <Value>1114</Value>
      <Value>296</Value>
      <Value>1212</Value>
      <Value>1109</Value>
      <Value>1</Value>
    </TaxCatchAll>
    <c4e2ab2cc9354bbf9064eeb465a566ea xmlns="1ed4137b-41b2-488b-8250-6d369ec27664">
      <Terms xmlns="http://schemas.microsoft.com/office/infopath/2007/PartnerControls"/>
    </c4e2ab2cc9354bbf9064eeb465a566ea>
    <UndpProjectNo xmlns="1ed4137b-41b2-488b-8250-6d369ec27664">00104207</UndpProjectNo>
    <UndpDocStatus xmlns="1ed4137b-41b2-488b-8250-6d369ec27664">Draft</UndpDocStatus>
    <Outcome1 xmlns="f1161f5b-24a3-4c2d-bc81-44cb9325e8ee">00105894</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BEN</TermName>
          <TermId xmlns="http://schemas.microsoft.com/office/infopath/2007/PartnerControls">da271886-2650-4055-a85b-d60b902df11d</TermId>
        </TermInfo>
      </Terms>
    </gc6531b704974d528487414686b72f6f>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27E46B-27FD-45EE-A4E8-FDE11C7AF25C}"/>
</file>

<file path=customXml/itemProps2.xml><?xml version="1.0" encoding="utf-8"?>
<ds:datastoreItem xmlns:ds="http://schemas.openxmlformats.org/officeDocument/2006/customXml" ds:itemID="{8F1E9EF9-8092-482F-836F-BB11971DA1EE}"/>
</file>

<file path=customXml/itemProps3.xml><?xml version="1.0" encoding="utf-8"?>
<ds:datastoreItem xmlns:ds="http://schemas.openxmlformats.org/officeDocument/2006/customXml" ds:itemID="{55DC32B8-16FF-4E90-B476-8E508CFE838F}"/>
</file>

<file path=customXml/itemProps4.xml><?xml version="1.0" encoding="utf-8"?>
<ds:datastoreItem xmlns:ds="http://schemas.openxmlformats.org/officeDocument/2006/customXml" ds:itemID="{B2ECEB23-9FE1-492F-9DA5-74CE49CDDC4D}"/>
</file>

<file path=customXml/itemProps5.xml><?xml version="1.0" encoding="utf-8"?>
<ds:datastoreItem xmlns:ds="http://schemas.openxmlformats.org/officeDocument/2006/customXml" ds:itemID="{9314D958-ED9D-474E-9AE0-17BEE65868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TBWP</vt:lpstr>
      <vt:lpstr>Summary</vt:lpstr>
      <vt:lpstr>accounts</vt:lpstr>
      <vt:lpstr>TBWP!_ftn2</vt:lpstr>
      <vt:lpstr>TBWP!_ftn3</vt:lpstr>
      <vt:lpstr>TBWP!_ftnref1</vt:lpstr>
      <vt:lpstr>TBWP!_ftnref3</vt:lpstr>
      <vt:lpstr>TBWP!Zone_d_impression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dc:title>
  <dc:subject/>
  <dc:creator>UNDP</dc:creator>
  <cp:lastModifiedBy>Stella Coco</cp:lastModifiedBy>
  <cp:lastPrinted>2017-06-14T13:59:25Z</cp:lastPrinted>
  <dcterms:created xsi:type="dcterms:W3CDTF">2015-11-24T13:20:20Z</dcterms:created>
  <dcterms:modified xsi:type="dcterms:W3CDTF">2017-06-14T14:47:53Z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_dlc_DocIdItemGuid">
    <vt:lpwstr>f217e559-0ed3-4797-bdc4-9df97b3960d0</vt:lpwstr>
  </property>
  <property fmtid="{D5CDD505-2E9C-101B-9397-08002B2CF9AE}" pid="4" name="UNDPCountry">
    <vt:lpwstr>1114;#Countries|2f9ec5a1-3eec-45d6-8645-ed5d87180aba</vt:lpwstr>
  </property>
  <property fmtid="{D5CDD505-2E9C-101B-9397-08002B2CF9AE}" pid="5" name="UndpDocTypeMM">
    <vt:lpwstr/>
  </property>
  <property fmtid="{D5CDD505-2E9C-101B-9397-08002B2CF9AE}" pid="6" name="UNDPDocumentCategory">
    <vt:lpwstr/>
  </property>
  <property fmtid="{D5CDD505-2E9C-101B-9397-08002B2CF9AE}" pid="7" name="UN Languages">
    <vt:lpwstr>1;#English|7f98b732-4b5b-4b70-ba90-a0eff09b5d2d</vt:lpwstr>
  </property>
  <property fmtid="{D5CDD505-2E9C-101B-9397-08002B2CF9AE}" pid="8" name="Operating Unit0">
    <vt:lpwstr>1212;#BEN|da271886-2650-4055-a85b-d60b902df11d</vt:lpwstr>
  </property>
  <property fmtid="{D5CDD505-2E9C-101B-9397-08002B2CF9AE}" pid="9" name="Atlas Document Status">
    <vt:lpwstr>763;#Draft|121d40a5-e62e-4d42-82e4-d6d12003de0a</vt:lpwstr>
  </property>
  <property fmtid="{D5CDD505-2E9C-101B-9397-08002B2CF9AE}" pid="10" name="Atlas Document Type">
    <vt:lpwstr>1109;#Budget|1c1fa43a-cb36-4844-8715-9a4cc93e1ac9</vt:lpwstr>
  </property>
  <property fmtid="{D5CDD505-2E9C-101B-9397-08002B2CF9AE}" pid="11" name="eRegFilingCodeMM">
    <vt:lpwstr/>
  </property>
  <property fmtid="{D5CDD505-2E9C-101B-9397-08002B2CF9AE}" pid="12" name="UndpUnitMM">
    <vt:lpwstr/>
  </property>
  <property fmtid="{D5CDD505-2E9C-101B-9397-08002B2CF9AE}" pid="13" name="UNDPFocusAreas">
    <vt:lpwstr>296;#Environment and Energy|507850c5-118d-4c78-99b1-c760df552b10</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